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9210" activeTab="0"/>
  </bookViews>
  <sheets>
    <sheet name="01-06.hó" sheetId="1" r:id="rId1"/>
    <sheet name="elemzes" sheetId="2" r:id="rId2"/>
    <sheet name="Munka3" sheetId="3" r:id="rId3"/>
  </sheets>
  <definedNames>
    <definedName name="_xlnm.Print_Titles" localSheetId="0">'01-06.hó'!$1:$2</definedName>
  </definedNames>
  <calcPr fullCalcOnLoad="1"/>
</workbook>
</file>

<file path=xl/sharedStrings.xml><?xml version="1.0" encoding="utf-8"?>
<sst xmlns="http://schemas.openxmlformats.org/spreadsheetml/2006/main" count="206" uniqueCount="146">
  <si>
    <t>Személyi</t>
  </si>
  <si>
    <t>Külső szem.</t>
  </si>
  <si>
    <t>M.adót terh</t>
  </si>
  <si>
    <t>Készlet</t>
  </si>
  <si>
    <t>Szolgáltatás</t>
  </si>
  <si>
    <t>Különf.egyéb</t>
  </si>
  <si>
    <t>Egyéb folyó</t>
  </si>
  <si>
    <t>Beruházás</t>
  </si>
  <si>
    <t>Költvet,</t>
  </si>
  <si>
    <t>Kiadások</t>
  </si>
  <si>
    <t>Telj.</t>
  </si>
  <si>
    <t>Támogatás</t>
  </si>
  <si>
    <t>Gondozási</t>
  </si>
  <si>
    <t>Költ.vet</t>
  </si>
  <si>
    <t>Egyéb</t>
  </si>
  <si>
    <t>Bevételek</t>
  </si>
  <si>
    <t>Telj</t>
  </si>
  <si>
    <t>Eleőirányzat</t>
  </si>
  <si>
    <t>Záró</t>
  </si>
  <si>
    <t>juttatások</t>
  </si>
  <si>
    <t>járulékok</t>
  </si>
  <si>
    <t>beszerzés</t>
  </si>
  <si>
    <t>dol.kiadás</t>
  </si>
  <si>
    <t>kiadás</t>
  </si>
  <si>
    <t>kiad.össz.</t>
  </si>
  <si>
    <t>előirányzata</t>
  </si>
  <si>
    <t>%</t>
  </si>
  <si>
    <t>TB alapból</t>
  </si>
  <si>
    <t>dij</t>
  </si>
  <si>
    <t>támogatás</t>
  </si>
  <si>
    <t>bevételek</t>
  </si>
  <si>
    <t>bev.össz.</t>
  </si>
  <si>
    <t>kív.bevét.</t>
  </si>
  <si>
    <t>egyenlege</t>
  </si>
  <si>
    <t>egyenleg</t>
  </si>
  <si>
    <t>000</t>
  </si>
  <si>
    <t>Átvezetések, függő</t>
  </si>
  <si>
    <t>023</t>
  </si>
  <si>
    <t>Közhasznú foglalkoztatás</t>
  </si>
  <si>
    <t>030</t>
  </si>
  <si>
    <t>Egyéb EÜ számlák</t>
  </si>
  <si>
    <t>049</t>
  </si>
  <si>
    <t>Pszichiátria</t>
  </si>
  <si>
    <t>050</t>
  </si>
  <si>
    <t>Támogató szolgálat</t>
  </si>
  <si>
    <t>051</t>
  </si>
  <si>
    <t>Közösségi Ház</t>
  </si>
  <si>
    <t>052</t>
  </si>
  <si>
    <t>Idősek átm.otthona</t>
  </si>
  <si>
    <t>053</t>
  </si>
  <si>
    <t>Családok átm.otthona</t>
  </si>
  <si>
    <t>060</t>
  </si>
  <si>
    <t>Fizikóterápia Labor</t>
  </si>
  <si>
    <t>061</t>
  </si>
  <si>
    <t>Házi szociális gondozás</t>
  </si>
  <si>
    <t>062</t>
  </si>
  <si>
    <t>Jelzőrendsz.Hszg.</t>
  </si>
  <si>
    <t>070</t>
  </si>
  <si>
    <t>Családsegítő szolg.</t>
  </si>
  <si>
    <t>080</t>
  </si>
  <si>
    <t>Szociális étkeztetés</t>
  </si>
  <si>
    <t>081</t>
  </si>
  <si>
    <t>Munkahelyi vendégl.</t>
  </si>
  <si>
    <t>091</t>
  </si>
  <si>
    <t>Nappali szocellátás</t>
  </si>
  <si>
    <t>Szolg.kp összesen:</t>
  </si>
  <si>
    <t>Éves előirányzat</t>
  </si>
  <si>
    <t>110</t>
  </si>
  <si>
    <t>Fogyatékos ellátás</t>
  </si>
  <si>
    <t>120</t>
  </si>
  <si>
    <t>Idős ellátás</t>
  </si>
  <si>
    <t>130</t>
  </si>
  <si>
    <t>Szenvedélybeteg ellátás</t>
  </si>
  <si>
    <t>140</t>
  </si>
  <si>
    <t>Emelt szintű ellátás</t>
  </si>
  <si>
    <t>150</t>
  </si>
  <si>
    <t>Élelmezés</t>
  </si>
  <si>
    <t>155</t>
  </si>
  <si>
    <t>Növénytermesztés</t>
  </si>
  <si>
    <t>160</t>
  </si>
  <si>
    <t>Állattenyésztés</t>
  </si>
  <si>
    <t>165</t>
  </si>
  <si>
    <t>Épületfenntartás</t>
  </si>
  <si>
    <t>170</t>
  </si>
  <si>
    <t>Gazdasági csoport</t>
  </si>
  <si>
    <t>171</t>
  </si>
  <si>
    <t>Karbantartás</t>
  </si>
  <si>
    <t>190</t>
  </si>
  <si>
    <t>Bérbeadás</t>
  </si>
  <si>
    <t>Szoc.Otthon összesen:</t>
  </si>
  <si>
    <t>300</t>
  </si>
  <si>
    <t>Járóbeteg ellátás</t>
  </si>
  <si>
    <t>310</t>
  </si>
  <si>
    <t>Fogászati röntgen</t>
  </si>
  <si>
    <t>320</t>
  </si>
  <si>
    <t>Védőnői szolgálat</t>
  </si>
  <si>
    <t>330</t>
  </si>
  <si>
    <t>Iskolai eü</t>
  </si>
  <si>
    <t>340</t>
  </si>
  <si>
    <t>Ügyelet</t>
  </si>
  <si>
    <t>OEP összesen:</t>
  </si>
  <si>
    <t>200</t>
  </si>
  <si>
    <t>Bölcsöde</t>
  </si>
  <si>
    <t>400</t>
  </si>
  <si>
    <t>Szoc.étk. T.nagyfalu</t>
  </si>
  <si>
    <t>410</t>
  </si>
  <si>
    <t>Nappali ellátás T.nagyfalu</t>
  </si>
  <si>
    <t>420</t>
  </si>
  <si>
    <t>Családsegítés T.nagyfalu</t>
  </si>
  <si>
    <t>T.nagyfalu össz.:</t>
  </si>
  <si>
    <t>450</t>
  </si>
  <si>
    <t>Tímár Családsegítés</t>
  </si>
  <si>
    <t>500</t>
  </si>
  <si>
    <t>Tiszadada Támogató szolg.</t>
  </si>
  <si>
    <t>600</t>
  </si>
  <si>
    <t>Tiszadob Köz.Pszichiátria</t>
  </si>
  <si>
    <t>650</t>
  </si>
  <si>
    <t>Rakamaz Köz.Pszichiátria</t>
  </si>
  <si>
    <t>220</t>
  </si>
  <si>
    <t>Intézményi elszámolás</t>
  </si>
  <si>
    <t>Mindösszesen:</t>
  </si>
  <si>
    <t>Éves előirnyazat mindössz.</t>
  </si>
  <si>
    <t>Záró pénzkészlet</t>
  </si>
  <si>
    <t>Ebből: OTP elsz.szla:</t>
  </si>
  <si>
    <t>OTP zsebpénztár szla:</t>
  </si>
  <si>
    <t>Pénztár:</t>
  </si>
  <si>
    <t>Szem.jell.</t>
  </si>
  <si>
    <t>Dologi</t>
  </si>
  <si>
    <t>össz.</t>
  </si>
  <si>
    <t>összesen</t>
  </si>
  <si>
    <t>Szolg.kp teljesítés:</t>
  </si>
  <si>
    <t>Szoc.Otthon teljesítés:</t>
  </si>
  <si>
    <t>OEP teljesítés:</t>
  </si>
  <si>
    <t>Bölcsöde teljesítés:</t>
  </si>
  <si>
    <t>T.nagyfalu teljesítés:</t>
  </si>
  <si>
    <t>Tímár össz.:</t>
  </si>
  <si>
    <t>Tímár teljesítés:</t>
  </si>
  <si>
    <t>Tiszadada össz.:</t>
  </si>
  <si>
    <t>Tiszadada teljesítés:</t>
  </si>
  <si>
    <t>Tiszadob össz.:</t>
  </si>
  <si>
    <t>Tiszadob teljesítés:</t>
  </si>
  <si>
    <t>Rakamaz össz.:</t>
  </si>
  <si>
    <t>Rakamaz teljesítés:</t>
  </si>
  <si>
    <t>Intézményi elsz. Előirányz</t>
  </si>
  <si>
    <t>Int.elsz.teljesítés:</t>
  </si>
  <si>
    <t>Teljesítés mindössz.: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</si>
</sst>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2" fontId="0" fillId="0" borderId="9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0" xfId="0" applyNumberFormat="1" applyBorder="1" applyAlignment="1">
      <alignment/>
    </xf>
    <xf numFmtId="49" fontId="1" fillId="2" borderId="11" xfId="0" applyNumberFormat="1" applyFont="1" applyFill="1" applyBorder="1" applyAlignment="1">
      <alignment/>
    </xf>
    <xf numFmtId="0" fontId="1" fillId="2" borderId="12" xfId="0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2" fontId="1" fillId="2" borderId="1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49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3" xfId="0" applyFill="1" applyBorder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2" xfId="0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0" fillId="2" borderId="12" xfId="0" applyFont="1" applyFill="1" applyBorder="1" applyAlignment="1">
      <alignment/>
    </xf>
    <xf numFmtId="3" fontId="0" fillId="2" borderId="1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4" fontId="1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0" fillId="0" borderId="12" xfId="0" applyNumberFormat="1" applyFont="1" applyBorder="1" applyAlignment="1">
      <alignment/>
    </xf>
    <xf numFmtId="4" fontId="0" fillId="2" borderId="10" xfId="0" applyNumberFormat="1" applyFont="1" applyFill="1" applyBorder="1" applyAlignment="1">
      <alignment/>
    </xf>
    <xf numFmtId="4" fontId="0" fillId="2" borderId="0" xfId="0" applyNumberFormat="1" applyFont="1" applyFill="1" applyAlignment="1">
      <alignment/>
    </xf>
    <xf numFmtId="3" fontId="0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2" borderId="12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3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workbookViewId="0" topLeftCell="A1">
      <selection activeCell="D8" sqref="D8"/>
    </sheetView>
  </sheetViews>
  <sheetFormatPr defaultColWidth="9.33203125" defaultRowHeight="12.75"/>
  <cols>
    <col min="1" max="1" width="4.16015625" style="39" bestFit="1" customWidth="1"/>
    <col min="2" max="2" width="27" style="0" bestFit="1" customWidth="1"/>
    <col min="3" max="3" width="13.33203125" style="40" bestFit="1" customWidth="1"/>
    <col min="4" max="4" width="12" style="40" customWidth="1"/>
    <col min="5" max="6" width="12.16015625" style="40" bestFit="1" customWidth="1"/>
    <col min="7" max="7" width="12.66015625" style="40" customWidth="1"/>
    <col min="8" max="8" width="12.16015625" style="40" customWidth="1"/>
    <col min="9" max="9" width="11.66015625" style="40" customWidth="1"/>
    <col min="10" max="10" width="11" style="40" bestFit="1" customWidth="1"/>
    <col min="11" max="11" width="12.66015625" style="40" bestFit="1" customWidth="1"/>
    <col min="12" max="12" width="12.66015625" style="40" customWidth="1"/>
    <col min="13" max="13" width="7.16015625" style="41" customWidth="1"/>
    <col min="14" max="14" width="11.5" style="40" bestFit="1" customWidth="1"/>
    <col min="15" max="15" width="13" style="40" customWidth="1"/>
    <col min="16" max="16" width="13.5" style="40" customWidth="1"/>
    <col min="17" max="17" width="12.66015625" style="40" customWidth="1"/>
    <col min="18" max="18" width="12.66015625" style="40" bestFit="1" customWidth="1"/>
    <col min="19" max="19" width="11.33203125" style="40" customWidth="1"/>
    <col min="20" max="20" width="12.83203125" style="40" customWidth="1"/>
    <col min="21" max="21" width="7.5" style="41" bestFit="1" customWidth="1"/>
    <col min="22" max="22" width="13.5" style="40" bestFit="1" customWidth="1"/>
    <col min="23" max="23" width="13.66015625" style="40" customWidth="1"/>
    <col min="24" max="24" width="7.16015625" style="41" customWidth="1"/>
  </cols>
  <sheetData>
    <row r="1" spans="1:24" s="5" customFormat="1" ht="12.75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4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13</v>
      </c>
      <c r="S1" s="3" t="s">
        <v>13</v>
      </c>
      <c r="T1" s="3" t="s">
        <v>15</v>
      </c>
      <c r="U1" s="4" t="s">
        <v>16</v>
      </c>
      <c r="V1" s="3" t="s">
        <v>17</v>
      </c>
      <c r="W1" s="3" t="s">
        <v>18</v>
      </c>
      <c r="X1" s="4" t="s">
        <v>16</v>
      </c>
    </row>
    <row r="2" spans="1:24" s="5" customFormat="1" ht="13.5" thickBot="1">
      <c r="A2" s="6"/>
      <c r="B2" s="7"/>
      <c r="C2" s="8" t="s">
        <v>19</v>
      </c>
      <c r="D2" s="8" t="s">
        <v>19</v>
      </c>
      <c r="E2" s="8" t="s">
        <v>20</v>
      </c>
      <c r="F2" s="8" t="s">
        <v>21</v>
      </c>
      <c r="G2" s="8"/>
      <c r="H2" s="8" t="s">
        <v>22</v>
      </c>
      <c r="I2" s="8" t="s">
        <v>23</v>
      </c>
      <c r="J2" s="8"/>
      <c r="K2" s="8" t="s">
        <v>24</v>
      </c>
      <c r="L2" s="8" t="s">
        <v>25</v>
      </c>
      <c r="M2" s="9" t="s">
        <v>26</v>
      </c>
      <c r="N2" s="8" t="s">
        <v>27</v>
      </c>
      <c r="O2" s="8" t="s">
        <v>28</v>
      </c>
      <c r="P2" s="8" t="s">
        <v>29</v>
      </c>
      <c r="Q2" s="8" t="s">
        <v>30</v>
      </c>
      <c r="R2" s="8" t="s">
        <v>31</v>
      </c>
      <c r="S2" s="8" t="s">
        <v>32</v>
      </c>
      <c r="T2" s="8" t="s">
        <v>25</v>
      </c>
      <c r="U2" s="9" t="s">
        <v>26</v>
      </c>
      <c r="V2" s="8" t="s">
        <v>33</v>
      </c>
      <c r="W2" s="8" t="s">
        <v>34</v>
      </c>
      <c r="X2" s="9" t="s">
        <v>26</v>
      </c>
    </row>
    <row r="3" spans="1:24" ht="12.75">
      <c r="A3" s="10" t="s">
        <v>35</v>
      </c>
      <c r="B3" s="11" t="s">
        <v>36</v>
      </c>
      <c r="C3" s="12"/>
      <c r="D3" s="12"/>
      <c r="E3" s="12"/>
      <c r="F3" s="12"/>
      <c r="G3" s="12"/>
      <c r="H3" s="12"/>
      <c r="I3" s="12">
        <v>609506</v>
      </c>
      <c r="J3" s="12"/>
      <c r="K3" s="13">
        <f aca="true" t="shared" si="0" ref="K3:K13">SUM(C3:J3)</f>
        <v>609506</v>
      </c>
      <c r="L3" s="12">
        <v>0</v>
      </c>
      <c r="M3" s="14">
        <v>0</v>
      </c>
      <c r="N3" s="12"/>
      <c r="O3" s="12"/>
      <c r="P3" s="12"/>
      <c r="Q3" s="12">
        <v>14283489</v>
      </c>
      <c r="R3" s="12">
        <f aca="true" t="shared" si="1" ref="R3:R17">SUM(N3:Q3)</f>
        <v>14283489</v>
      </c>
      <c r="S3" s="12">
        <v>6681651</v>
      </c>
      <c r="T3" s="12">
        <v>0</v>
      </c>
      <c r="U3" s="14">
        <v>0</v>
      </c>
      <c r="V3" s="12">
        <f>T3-L3</f>
        <v>0</v>
      </c>
      <c r="W3" s="12">
        <f>R3+S3-K3</f>
        <v>20355634</v>
      </c>
      <c r="X3" s="14">
        <v>0</v>
      </c>
    </row>
    <row r="4" spans="1:24" ht="12.75">
      <c r="A4" s="15" t="s">
        <v>37</v>
      </c>
      <c r="B4" s="16" t="s">
        <v>38</v>
      </c>
      <c r="C4" s="13"/>
      <c r="D4" s="13"/>
      <c r="E4" s="13"/>
      <c r="F4" s="13"/>
      <c r="G4" s="13"/>
      <c r="H4" s="13"/>
      <c r="I4" s="13"/>
      <c r="J4" s="13"/>
      <c r="K4" s="13">
        <f t="shared" si="0"/>
        <v>0</v>
      </c>
      <c r="L4" s="13">
        <v>0</v>
      </c>
      <c r="M4" s="17">
        <v>0</v>
      </c>
      <c r="N4" s="13"/>
      <c r="O4" s="13"/>
      <c r="P4" s="13">
        <v>54100</v>
      </c>
      <c r="Q4" s="13"/>
      <c r="R4" s="13">
        <f t="shared" si="1"/>
        <v>54100</v>
      </c>
      <c r="S4" s="13"/>
      <c r="T4" s="13">
        <v>0</v>
      </c>
      <c r="U4" s="17">
        <v>0</v>
      </c>
      <c r="V4" s="13">
        <f aca="true" t="shared" si="2" ref="V4:V37">T4-L4</f>
        <v>0</v>
      </c>
      <c r="W4" s="13">
        <f aca="true" t="shared" si="3" ref="W4:W37">R4+S4-K4</f>
        <v>54100</v>
      </c>
      <c r="X4" s="17">
        <v>0</v>
      </c>
    </row>
    <row r="5" spans="1:24" ht="12.75">
      <c r="A5" s="15" t="s">
        <v>39</v>
      </c>
      <c r="B5" s="16" t="s">
        <v>40</v>
      </c>
      <c r="C5" s="13"/>
      <c r="D5" s="13"/>
      <c r="E5" s="13"/>
      <c r="F5" s="13"/>
      <c r="G5" s="13">
        <v>1008959</v>
      </c>
      <c r="H5" s="13">
        <v>201674</v>
      </c>
      <c r="I5" s="13"/>
      <c r="J5" s="13"/>
      <c r="K5" s="13">
        <f t="shared" si="0"/>
        <v>1210633</v>
      </c>
      <c r="L5" s="13">
        <v>2460000</v>
      </c>
      <c r="M5" s="17">
        <f>K5/L5*100</f>
        <v>49.21272357723577</v>
      </c>
      <c r="N5" s="13"/>
      <c r="O5" s="13"/>
      <c r="P5" s="13"/>
      <c r="Q5" s="13">
        <v>1113429</v>
      </c>
      <c r="R5" s="13">
        <f t="shared" si="1"/>
        <v>1113429</v>
      </c>
      <c r="S5" s="13"/>
      <c r="T5" s="13">
        <v>2460000</v>
      </c>
      <c r="U5" s="17">
        <f>(R5+S5)/T5*100</f>
        <v>45.26134146341463</v>
      </c>
      <c r="V5" s="13">
        <f t="shared" si="2"/>
        <v>0</v>
      </c>
      <c r="W5" s="13">
        <f t="shared" si="3"/>
        <v>-97204</v>
      </c>
      <c r="X5" s="17">
        <v>0</v>
      </c>
    </row>
    <row r="6" spans="1:24" ht="12.75">
      <c r="A6" s="15" t="s">
        <v>41</v>
      </c>
      <c r="B6" s="16" t="s">
        <v>42</v>
      </c>
      <c r="C6" s="13">
        <v>1822790</v>
      </c>
      <c r="D6" s="13"/>
      <c r="E6" s="13">
        <v>616162</v>
      </c>
      <c r="F6" s="13"/>
      <c r="G6" s="13">
        <v>35458</v>
      </c>
      <c r="H6" s="13">
        <v>56091</v>
      </c>
      <c r="I6" s="13"/>
      <c r="J6" s="13"/>
      <c r="K6" s="13">
        <f t="shared" si="0"/>
        <v>2530501</v>
      </c>
      <c r="L6" s="13">
        <v>4771000</v>
      </c>
      <c r="M6" s="17">
        <f aca="true" t="shared" si="4" ref="M6:M56">K6/L6*100</f>
        <v>53.03921609725425</v>
      </c>
      <c r="N6" s="13"/>
      <c r="O6" s="13"/>
      <c r="P6" s="13"/>
      <c r="Q6" s="13"/>
      <c r="R6" s="13">
        <f t="shared" si="1"/>
        <v>0</v>
      </c>
      <c r="S6" s="13"/>
      <c r="T6" s="13">
        <v>280000</v>
      </c>
      <c r="U6" s="17">
        <v>0</v>
      </c>
      <c r="V6" s="13">
        <f t="shared" si="2"/>
        <v>-4491000</v>
      </c>
      <c r="W6" s="13">
        <f t="shared" si="3"/>
        <v>-2530501</v>
      </c>
      <c r="X6" s="17">
        <f>W6/V6*100</f>
        <v>56.346047650857265</v>
      </c>
    </row>
    <row r="7" spans="1:24" ht="12.75">
      <c r="A7" s="15" t="s">
        <v>43</v>
      </c>
      <c r="B7" s="16" t="s">
        <v>44</v>
      </c>
      <c r="C7" s="13">
        <v>1991242</v>
      </c>
      <c r="D7" s="13"/>
      <c r="E7" s="13">
        <v>781865</v>
      </c>
      <c r="F7" s="13">
        <v>398480</v>
      </c>
      <c r="G7" s="13">
        <v>532296</v>
      </c>
      <c r="H7" s="13">
        <v>170712</v>
      </c>
      <c r="I7" s="13"/>
      <c r="J7" s="13"/>
      <c r="K7" s="13">
        <f t="shared" si="0"/>
        <v>3874595</v>
      </c>
      <c r="L7" s="13">
        <v>9557000</v>
      </c>
      <c r="M7" s="17">
        <f t="shared" si="4"/>
        <v>40.54195877367375</v>
      </c>
      <c r="N7" s="13"/>
      <c r="O7" s="13">
        <v>38150</v>
      </c>
      <c r="P7" s="13"/>
      <c r="Q7" s="13">
        <v>149455</v>
      </c>
      <c r="R7" s="13">
        <f t="shared" si="1"/>
        <v>187605</v>
      </c>
      <c r="S7" s="13"/>
      <c r="T7" s="13">
        <v>657000</v>
      </c>
      <c r="U7" s="17">
        <f aca="true" t="shared" si="5" ref="U7:U56">(R7+S7)/T7*100</f>
        <v>28.554794520547944</v>
      </c>
      <c r="V7" s="13">
        <f t="shared" si="2"/>
        <v>-8900000</v>
      </c>
      <c r="W7" s="13">
        <f t="shared" si="3"/>
        <v>-3686990</v>
      </c>
      <c r="X7" s="17">
        <f>W7/V7*100</f>
        <v>41.426853932584265</v>
      </c>
    </row>
    <row r="8" spans="1:24" ht="12.75">
      <c r="A8" s="15" t="s">
        <v>45</v>
      </c>
      <c r="B8" s="16" t="s">
        <v>46</v>
      </c>
      <c r="C8" s="13">
        <v>371241</v>
      </c>
      <c r="D8" s="13"/>
      <c r="E8" s="13">
        <v>180470</v>
      </c>
      <c r="F8" s="13">
        <v>16858</v>
      </c>
      <c r="G8" s="13">
        <v>345728</v>
      </c>
      <c r="H8" s="13">
        <v>69471</v>
      </c>
      <c r="I8" s="13"/>
      <c r="J8" s="13"/>
      <c r="K8" s="13">
        <f t="shared" si="0"/>
        <v>983768</v>
      </c>
      <c r="L8" s="13">
        <v>2093000</v>
      </c>
      <c r="M8" s="17">
        <f t="shared" si="4"/>
        <v>47.002771141901576</v>
      </c>
      <c r="N8" s="13"/>
      <c r="O8" s="13"/>
      <c r="P8" s="13">
        <v>1394000</v>
      </c>
      <c r="Q8" s="13"/>
      <c r="R8" s="13">
        <f t="shared" si="1"/>
        <v>1394000</v>
      </c>
      <c r="S8" s="13"/>
      <c r="T8" s="13">
        <v>2167000</v>
      </c>
      <c r="U8" s="17">
        <f t="shared" si="5"/>
        <v>64.32856483617904</v>
      </c>
      <c r="V8" s="13">
        <f t="shared" si="2"/>
        <v>74000</v>
      </c>
      <c r="W8" s="13">
        <f t="shared" si="3"/>
        <v>410232</v>
      </c>
      <c r="X8" s="17">
        <v>0</v>
      </c>
    </row>
    <row r="9" spans="1:24" ht="12.75">
      <c r="A9" s="15" t="s">
        <v>47</v>
      </c>
      <c r="B9" s="16" t="s">
        <v>48</v>
      </c>
      <c r="C9" s="13">
        <v>5930372</v>
      </c>
      <c r="D9" s="13">
        <v>120000</v>
      </c>
      <c r="E9" s="13">
        <v>1968090</v>
      </c>
      <c r="F9" s="13">
        <v>104546</v>
      </c>
      <c r="G9" s="13">
        <v>824031</v>
      </c>
      <c r="H9" s="13">
        <v>150460</v>
      </c>
      <c r="I9" s="13"/>
      <c r="J9" s="13"/>
      <c r="K9" s="13">
        <f t="shared" si="0"/>
        <v>9097499</v>
      </c>
      <c r="L9" s="13">
        <v>21742000</v>
      </c>
      <c r="M9" s="17">
        <f t="shared" si="4"/>
        <v>41.84297212767915</v>
      </c>
      <c r="N9" s="13"/>
      <c r="O9" s="13">
        <v>2772810</v>
      </c>
      <c r="P9" s="13"/>
      <c r="Q9" s="13"/>
      <c r="R9" s="13">
        <f t="shared" si="1"/>
        <v>2772810</v>
      </c>
      <c r="S9" s="13"/>
      <c r="T9" s="13">
        <v>6900000</v>
      </c>
      <c r="U9" s="17">
        <f t="shared" si="5"/>
        <v>40.18565217391304</v>
      </c>
      <c r="V9" s="13">
        <f t="shared" si="2"/>
        <v>-14842000</v>
      </c>
      <c r="W9" s="13">
        <f t="shared" si="3"/>
        <v>-6324689</v>
      </c>
      <c r="X9" s="17">
        <f aca="true" t="shared" si="6" ref="X9:X38">W9/V9*100</f>
        <v>42.61345505996496</v>
      </c>
    </row>
    <row r="10" spans="1:24" ht="12.75">
      <c r="A10" s="15" t="s">
        <v>49</v>
      </c>
      <c r="B10" s="16" t="s">
        <v>50</v>
      </c>
      <c r="C10" s="13">
        <v>5941510</v>
      </c>
      <c r="D10" s="13"/>
      <c r="E10" s="13">
        <v>1963120</v>
      </c>
      <c r="F10" s="13">
        <v>111875</v>
      </c>
      <c r="G10" s="13">
        <v>903034</v>
      </c>
      <c r="H10" s="13">
        <v>178607</v>
      </c>
      <c r="I10" s="13">
        <v>1400000</v>
      </c>
      <c r="J10" s="13"/>
      <c r="K10" s="13">
        <f t="shared" si="0"/>
        <v>10498146</v>
      </c>
      <c r="L10" s="13">
        <v>16537000</v>
      </c>
      <c r="M10" s="17">
        <f t="shared" si="4"/>
        <v>63.482771965894656</v>
      </c>
      <c r="N10" s="13"/>
      <c r="O10" s="13">
        <v>185615</v>
      </c>
      <c r="P10" s="13"/>
      <c r="Q10" s="13">
        <v>1400000</v>
      </c>
      <c r="R10" s="13">
        <f t="shared" si="1"/>
        <v>1585615</v>
      </c>
      <c r="S10" s="13"/>
      <c r="T10" s="13">
        <v>2955000</v>
      </c>
      <c r="U10" s="17">
        <f t="shared" si="5"/>
        <v>53.65871404399323</v>
      </c>
      <c r="V10" s="13">
        <f t="shared" si="2"/>
        <v>-13582000</v>
      </c>
      <c r="W10" s="13">
        <f t="shared" si="3"/>
        <v>-8912531</v>
      </c>
      <c r="X10" s="17">
        <f t="shared" si="6"/>
        <v>65.62016639670152</v>
      </c>
    </row>
    <row r="11" spans="1:24" ht="12.75">
      <c r="A11" s="15" t="s">
        <v>51</v>
      </c>
      <c r="B11" s="16" t="s">
        <v>52</v>
      </c>
      <c r="C11" s="13">
        <v>2692842</v>
      </c>
      <c r="D11" s="13"/>
      <c r="E11" s="13">
        <v>950546</v>
      </c>
      <c r="F11" s="13">
        <v>180999</v>
      </c>
      <c r="G11" s="13">
        <v>339300</v>
      </c>
      <c r="H11" s="13">
        <v>115270</v>
      </c>
      <c r="I11" s="13"/>
      <c r="J11" s="13"/>
      <c r="K11" s="13">
        <f t="shared" si="0"/>
        <v>4278957</v>
      </c>
      <c r="L11" s="13">
        <v>7635000</v>
      </c>
      <c r="M11" s="17">
        <f t="shared" si="4"/>
        <v>56.04396856581533</v>
      </c>
      <c r="N11" s="13"/>
      <c r="O11" s="13"/>
      <c r="P11" s="13"/>
      <c r="Q11" s="13"/>
      <c r="R11" s="13">
        <f t="shared" si="1"/>
        <v>0</v>
      </c>
      <c r="S11" s="13"/>
      <c r="T11" s="13">
        <v>315000</v>
      </c>
      <c r="U11" s="17">
        <v>0</v>
      </c>
      <c r="V11" s="13">
        <f t="shared" si="2"/>
        <v>-7320000</v>
      </c>
      <c r="W11" s="13">
        <f t="shared" si="3"/>
        <v>-4278957</v>
      </c>
      <c r="X11" s="17">
        <f t="shared" si="6"/>
        <v>58.455696721311476</v>
      </c>
    </row>
    <row r="12" spans="1:24" ht="12.75">
      <c r="A12" s="15" t="s">
        <v>53</v>
      </c>
      <c r="B12" s="16" t="s">
        <v>54</v>
      </c>
      <c r="C12" s="13">
        <v>1807630</v>
      </c>
      <c r="D12" s="13">
        <v>123045</v>
      </c>
      <c r="E12" s="13">
        <v>612503</v>
      </c>
      <c r="F12" s="13">
        <v>342760</v>
      </c>
      <c r="G12" s="13">
        <v>105733</v>
      </c>
      <c r="H12" s="13">
        <v>74175</v>
      </c>
      <c r="I12" s="13">
        <v>219240</v>
      </c>
      <c r="J12" s="13"/>
      <c r="K12" s="13">
        <f t="shared" si="0"/>
        <v>3285086</v>
      </c>
      <c r="L12" s="13">
        <v>4866600</v>
      </c>
      <c r="M12" s="17">
        <f t="shared" si="4"/>
        <v>67.50269181769613</v>
      </c>
      <c r="N12" s="13"/>
      <c r="O12" s="13">
        <v>198415</v>
      </c>
      <c r="P12" s="13">
        <v>808900</v>
      </c>
      <c r="Q12" s="13">
        <f>1307555-808900-198415</f>
        <v>300240</v>
      </c>
      <c r="R12" s="13">
        <f t="shared" si="1"/>
        <v>1307555</v>
      </c>
      <c r="S12" s="13"/>
      <c r="T12" s="13">
        <v>1240000</v>
      </c>
      <c r="U12" s="17">
        <f t="shared" si="5"/>
        <v>105.44798387096775</v>
      </c>
      <c r="V12" s="13">
        <f t="shared" si="2"/>
        <v>-3626600</v>
      </c>
      <c r="W12" s="13">
        <f t="shared" si="3"/>
        <v>-1977531</v>
      </c>
      <c r="X12" s="17">
        <f t="shared" si="6"/>
        <v>54.528511553521206</v>
      </c>
    </row>
    <row r="13" spans="1:24" ht="12.75">
      <c r="A13" s="15" t="s">
        <v>55</v>
      </c>
      <c r="B13" s="16" t="s">
        <v>56</v>
      </c>
      <c r="C13" s="13"/>
      <c r="D13" s="13">
        <v>2085558</v>
      </c>
      <c r="E13" s="13">
        <v>38727</v>
      </c>
      <c r="F13" s="13">
        <v>18807</v>
      </c>
      <c r="G13" s="13">
        <v>452042</v>
      </c>
      <c r="H13" s="13">
        <v>93360</v>
      </c>
      <c r="I13" s="13"/>
      <c r="J13" s="13"/>
      <c r="K13" s="13">
        <f t="shared" si="0"/>
        <v>2688494</v>
      </c>
      <c r="L13" s="13">
        <v>7890000</v>
      </c>
      <c r="M13" s="17">
        <f t="shared" si="4"/>
        <v>34.07470215462611</v>
      </c>
      <c r="N13" s="13"/>
      <c r="O13" s="13"/>
      <c r="P13" s="13"/>
      <c r="Q13" s="13"/>
      <c r="R13" s="13">
        <f t="shared" si="1"/>
        <v>0</v>
      </c>
      <c r="S13" s="13"/>
      <c r="T13" s="13">
        <v>0</v>
      </c>
      <c r="U13" s="17"/>
      <c r="V13" s="13">
        <f t="shared" si="2"/>
        <v>-7890000</v>
      </c>
      <c r="W13" s="13">
        <f t="shared" si="3"/>
        <v>-2688494</v>
      </c>
      <c r="X13" s="17">
        <f t="shared" si="6"/>
        <v>34.07470215462611</v>
      </c>
    </row>
    <row r="14" spans="1:24" ht="12.75">
      <c r="A14" s="15" t="s">
        <v>57</v>
      </c>
      <c r="B14" s="16" t="s">
        <v>58</v>
      </c>
      <c r="C14" s="13">
        <v>6082407</v>
      </c>
      <c r="D14" s="13">
        <v>59202</v>
      </c>
      <c r="E14" s="13">
        <v>2014997</v>
      </c>
      <c r="F14" s="13">
        <v>136786</v>
      </c>
      <c r="G14" s="13">
        <v>1114440</v>
      </c>
      <c r="H14" s="13">
        <v>125348</v>
      </c>
      <c r="I14" s="13"/>
      <c r="J14" s="13"/>
      <c r="K14" s="13">
        <f>SUM(C14:J14)</f>
        <v>9533180</v>
      </c>
      <c r="L14" s="13">
        <v>21638000</v>
      </c>
      <c r="M14" s="17">
        <f t="shared" si="4"/>
        <v>44.057583880210736</v>
      </c>
      <c r="N14" s="13"/>
      <c r="O14" s="13"/>
      <c r="P14" s="13"/>
      <c r="Q14" s="13"/>
      <c r="R14" s="13">
        <f t="shared" si="1"/>
        <v>0</v>
      </c>
      <c r="S14" s="13"/>
      <c r="T14" s="13">
        <v>767000</v>
      </c>
      <c r="U14" s="17">
        <f t="shared" si="5"/>
        <v>0</v>
      </c>
      <c r="V14" s="13">
        <f t="shared" si="2"/>
        <v>-20871000</v>
      </c>
      <c r="W14" s="13">
        <f t="shared" si="3"/>
        <v>-9533180</v>
      </c>
      <c r="X14" s="17">
        <f t="shared" si="6"/>
        <v>45.67668056154473</v>
      </c>
    </row>
    <row r="15" spans="1:24" ht="12.75">
      <c r="A15" s="15" t="s">
        <v>59</v>
      </c>
      <c r="B15" s="16" t="s">
        <v>60</v>
      </c>
      <c r="C15" s="13"/>
      <c r="D15" s="13"/>
      <c r="E15" s="13"/>
      <c r="F15" s="13">
        <v>8333</v>
      </c>
      <c r="G15" s="13">
        <v>2137191</v>
      </c>
      <c r="H15" s="13">
        <v>429072</v>
      </c>
      <c r="I15" s="13"/>
      <c r="J15" s="13"/>
      <c r="K15" s="13">
        <f aca="true" t="shared" si="7" ref="K15:K37">SUM(C15:J15)</f>
        <v>2574596</v>
      </c>
      <c r="L15" s="13">
        <v>4930000</v>
      </c>
      <c r="M15" s="17">
        <f t="shared" si="4"/>
        <v>52.22304259634889</v>
      </c>
      <c r="N15" s="13"/>
      <c r="O15" s="13"/>
      <c r="P15" s="13"/>
      <c r="Q15" s="13">
        <v>2174736</v>
      </c>
      <c r="R15" s="13">
        <f t="shared" si="1"/>
        <v>2174736</v>
      </c>
      <c r="S15" s="13"/>
      <c r="T15" s="13">
        <v>3562000</v>
      </c>
      <c r="U15" s="17">
        <f t="shared" si="5"/>
        <v>61.05379000561483</v>
      </c>
      <c r="V15" s="13">
        <f t="shared" si="2"/>
        <v>-1368000</v>
      </c>
      <c r="W15" s="13">
        <f t="shared" si="3"/>
        <v>-399860</v>
      </c>
      <c r="X15" s="17">
        <f t="shared" si="6"/>
        <v>29.22953216374269</v>
      </c>
    </row>
    <row r="16" spans="1:24" ht="12.75" hidden="1">
      <c r="A16" s="15" t="s">
        <v>61</v>
      </c>
      <c r="B16" s="16" t="s">
        <v>62</v>
      </c>
      <c r="C16" s="13"/>
      <c r="D16" s="13"/>
      <c r="E16" s="13"/>
      <c r="F16" s="13"/>
      <c r="G16" s="13"/>
      <c r="H16" s="13"/>
      <c r="I16" s="13"/>
      <c r="J16" s="13"/>
      <c r="K16" s="13">
        <f t="shared" si="7"/>
        <v>0</v>
      </c>
      <c r="L16" s="13">
        <v>0</v>
      </c>
      <c r="M16" s="17">
        <v>0</v>
      </c>
      <c r="N16" s="13"/>
      <c r="O16" s="13"/>
      <c r="P16" s="13"/>
      <c r="Q16" s="13"/>
      <c r="R16" s="13">
        <f t="shared" si="1"/>
        <v>0</v>
      </c>
      <c r="S16" s="13"/>
      <c r="T16" s="13"/>
      <c r="U16" s="17"/>
      <c r="V16" s="13">
        <f t="shared" si="2"/>
        <v>0</v>
      </c>
      <c r="W16" s="13">
        <f t="shared" si="3"/>
        <v>0</v>
      </c>
      <c r="X16" s="17">
        <v>0</v>
      </c>
    </row>
    <row r="17" spans="1:24" ht="12.75">
      <c r="A17" s="15" t="s">
        <v>63</v>
      </c>
      <c r="B17" s="16" t="s">
        <v>64</v>
      </c>
      <c r="C17" s="13">
        <v>1058666</v>
      </c>
      <c r="D17" s="13"/>
      <c r="E17" s="13">
        <v>355457</v>
      </c>
      <c r="F17" s="13">
        <v>31596</v>
      </c>
      <c r="G17" s="13">
        <v>400539</v>
      </c>
      <c r="H17" s="13">
        <v>88874</v>
      </c>
      <c r="I17" s="13">
        <v>1950000</v>
      </c>
      <c r="J17" s="13"/>
      <c r="K17" s="13">
        <f t="shared" si="7"/>
        <v>3885132</v>
      </c>
      <c r="L17" s="13">
        <v>5764000</v>
      </c>
      <c r="M17" s="17">
        <f t="shared" si="4"/>
        <v>67.40340041637751</v>
      </c>
      <c r="N17" s="13"/>
      <c r="O17" s="13">
        <v>44765</v>
      </c>
      <c r="P17" s="13"/>
      <c r="Q17" s="13">
        <v>1950000</v>
      </c>
      <c r="R17" s="13">
        <f t="shared" si="1"/>
        <v>1994765</v>
      </c>
      <c r="S17" s="13"/>
      <c r="T17" s="13">
        <v>2068000</v>
      </c>
      <c r="U17" s="17"/>
      <c r="V17" s="13">
        <f t="shared" si="2"/>
        <v>-3696000</v>
      </c>
      <c r="W17" s="13">
        <f t="shared" si="3"/>
        <v>-1890367</v>
      </c>
      <c r="X17" s="17">
        <f t="shared" si="6"/>
        <v>51.14629329004329</v>
      </c>
    </row>
    <row r="18" spans="1:24" s="22" customFormat="1" ht="12.75">
      <c r="A18" s="18"/>
      <c r="B18" s="19" t="s">
        <v>65</v>
      </c>
      <c r="C18" s="20">
        <f>SUM(C3:C17)</f>
        <v>27698700</v>
      </c>
      <c r="D18" s="20">
        <f aca="true" t="shared" si="8" ref="D18:W18">SUM(D3:D17)</f>
        <v>2387805</v>
      </c>
      <c r="E18" s="20">
        <f t="shared" si="8"/>
        <v>9481937</v>
      </c>
      <c r="F18" s="20">
        <f t="shared" si="8"/>
        <v>1351040</v>
      </c>
      <c r="G18" s="20">
        <f t="shared" si="8"/>
        <v>8198751</v>
      </c>
      <c r="H18" s="20">
        <f t="shared" si="8"/>
        <v>1753114</v>
      </c>
      <c r="I18" s="20">
        <f t="shared" si="8"/>
        <v>4178746</v>
      </c>
      <c r="J18" s="20">
        <f t="shared" si="8"/>
        <v>0</v>
      </c>
      <c r="K18" s="20">
        <f t="shared" si="8"/>
        <v>55050093</v>
      </c>
      <c r="L18" s="20">
        <f t="shared" si="8"/>
        <v>109883600</v>
      </c>
      <c r="M18" s="21">
        <f t="shared" si="4"/>
        <v>50.098552468248215</v>
      </c>
      <c r="N18" s="20">
        <f t="shared" si="8"/>
        <v>0</v>
      </c>
      <c r="O18" s="20">
        <f t="shared" si="8"/>
        <v>3239755</v>
      </c>
      <c r="P18" s="20">
        <f t="shared" si="8"/>
        <v>2257000</v>
      </c>
      <c r="Q18" s="20">
        <f t="shared" si="8"/>
        <v>21371349</v>
      </c>
      <c r="R18" s="20">
        <f t="shared" si="8"/>
        <v>26868104</v>
      </c>
      <c r="S18" s="20">
        <f t="shared" si="8"/>
        <v>6681651</v>
      </c>
      <c r="T18" s="20">
        <f t="shared" si="8"/>
        <v>23371000</v>
      </c>
      <c r="U18" s="21">
        <f t="shared" si="5"/>
        <v>143.55292884343845</v>
      </c>
      <c r="V18" s="20">
        <f t="shared" si="8"/>
        <v>-86512600</v>
      </c>
      <c r="W18" s="20">
        <f t="shared" si="8"/>
        <v>-21500338</v>
      </c>
      <c r="X18" s="21">
        <f t="shared" si="6"/>
        <v>24.852261982647615</v>
      </c>
    </row>
    <row r="19" spans="1:24" s="27" customFormat="1" ht="13.5">
      <c r="A19" s="23"/>
      <c r="B19" s="24" t="s">
        <v>66</v>
      </c>
      <c r="C19" s="25">
        <v>55394000</v>
      </c>
      <c r="D19" s="25">
        <v>5600000</v>
      </c>
      <c r="E19" s="25">
        <f>19575000-392400</f>
        <v>19182600</v>
      </c>
      <c r="F19" s="25">
        <f>3060000-300000</f>
        <v>2760000</v>
      </c>
      <c r="G19" s="25">
        <f>20110000-293000</f>
        <v>19817000</v>
      </c>
      <c r="H19" s="25">
        <v>3780000</v>
      </c>
      <c r="I19" s="25">
        <v>3350000</v>
      </c>
      <c r="J19" s="25"/>
      <c r="K19" s="25"/>
      <c r="L19" s="25">
        <f>SUM(C19:J19)</f>
        <v>109883600</v>
      </c>
      <c r="M19" s="26"/>
      <c r="N19" s="25"/>
      <c r="O19" s="25">
        <v>8000000</v>
      </c>
      <c r="P19" s="25">
        <f>7443000-2402000</f>
        <v>5041000</v>
      </c>
      <c r="Q19" s="25">
        <f>22423000-8000000-7443000+3350000</f>
        <v>10330000</v>
      </c>
      <c r="R19" s="25"/>
      <c r="S19" s="25"/>
      <c r="T19" s="25">
        <f>SUM(N19:S19)</f>
        <v>23371000</v>
      </c>
      <c r="U19" s="26"/>
      <c r="V19" s="25"/>
      <c r="W19" s="25"/>
      <c r="X19" s="26"/>
    </row>
    <row r="20" spans="1:24" ht="12.75">
      <c r="A20" s="15" t="s">
        <v>67</v>
      </c>
      <c r="B20" s="16" t="s">
        <v>68</v>
      </c>
      <c r="C20" s="13">
        <v>23336703</v>
      </c>
      <c r="D20" s="13"/>
      <c r="E20" s="13">
        <v>8001818</v>
      </c>
      <c r="F20" s="13">
        <v>3621078</v>
      </c>
      <c r="G20" s="13">
        <v>8755574</v>
      </c>
      <c r="H20" s="13">
        <v>1767922</v>
      </c>
      <c r="I20" s="13">
        <v>800000</v>
      </c>
      <c r="J20" s="13"/>
      <c r="K20" s="13">
        <f t="shared" si="7"/>
        <v>46283095</v>
      </c>
      <c r="L20" s="13">
        <v>93420000</v>
      </c>
      <c r="M20" s="17">
        <f t="shared" si="4"/>
        <v>49.54302611860415</v>
      </c>
      <c r="N20" s="13"/>
      <c r="O20" s="13">
        <v>24248484</v>
      </c>
      <c r="P20" s="13">
        <v>284067</v>
      </c>
      <c r="Q20" s="13">
        <v>800000</v>
      </c>
      <c r="R20" s="13">
        <f aca="true" t="shared" si="9" ref="R20:R30">SUM(N20:Q20)</f>
        <v>25332551</v>
      </c>
      <c r="S20" s="13"/>
      <c r="T20" s="13">
        <v>54815000</v>
      </c>
      <c r="U20" s="17">
        <f t="shared" si="5"/>
        <v>46.21463285597008</v>
      </c>
      <c r="V20" s="13">
        <f t="shared" si="2"/>
        <v>-38605000</v>
      </c>
      <c r="W20" s="13">
        <f t="shared" si="3"/>
        <v>-20950544</v>
      </c>
      <c r="X20" s="17">
        <f t="shared" si="6"/>
        <v>54.26899106333376</v>
      </c>
    </row>
    <row r="21" spans="1:24" ht="12.75">
      <c r="A21" s="15" t="s">
        <v>69</v>
      </c>
      <c r="B21" s="16" t="s">
        <v>70</v>
      </c>
      <c r="C21" s="13">
        <v>28266188</v>
      </c>
      <c r="D21" s="13">
        <v>544915</v>
      </c>
      <c r="E21" s="13">
        <v>9500248</v>
      </c>
      <c r="F21" s="13">
        <v>4210103</v>
      </c>
      <c r="G21" s="13">
        <v>11498807</v>
      </c>
      <c r="H21" s="13">
        <v>2471712</v>
      </c>
      <c r="I21" s="13">
        <v>85000</v>
      </c>
      <c r="J21" s="13"/>
      <c r="K21" s="13">
        <f t="shared" si="7"/>
        <v>56576973</v>
      </c>
      <c r="L21" s="13">
        <v>108568000</v>
      </c>
      <c r="M21" s="17">
        <f t="shared" si="4"/>
        <v>52.11201551101614</v>
      </c>
      <c r="N21" s="13"/>
      <c r="O21" s="13">
        <v>39310701</v>
      </c>
      <c r="P21" s="13">
        <v>68108</v>
      </c>
      <c r="Q21" s="13">
        <v>85000</v>
      </c>
      <c r="R21" s="13">
        <f t="shared" si="9"/>
        <v>39463809</v>
      </c>
      <c r="S21" s="13"/>
      <c r="T21" s="13">
        <v>76515000</v>
      </c>
      <c r="U21" s="17">
        <f t="shared" si="5"/>
        <v>51.57656537933738</v>
      </c>
      <c r="V21" s="13">
        <f t="shared" si="2"/>
        <v>-32053000</v>
      </c>
      <c r="W21" s="13">
        <f t="shared" si="3"/>
        <v>-17113164</v>
      </c>
      <c r="X21" s="17">
        <f t="shared" si="6"/>
        <v>53.39020996474589</v>
      </c>
    </row>
    <row r="22" spans="1:24" ht="12.75">
      <c r="A22" s="15" t="s">
        <v>71</v>
      </c>
      <c r="B22" s="16" t="s">
        <v>72</v>
      </c>
      <c r="C22" s="13">
        <v>3583044</v>
      </c>
      <c r="D22" s="13"/>
      <c r="E22" s="13">
        <v>1192696</v>
      </c>
      <c r="F22" s="13">
        <v>385394</v>
      </c>
      <c r="G22" s="13">
        <v>776531</v>
      </c>
      <c r="H22" s="13">
        <v>181221</v>
      </c>
      <c r="I22" s="13"/>
      <c r="J22" s="13"/>
      <c r="K22" s="13">
        <f t="shared" si="7"/>
        <v>6118886</v>
      </c>
      <c r="L22" s="13">
        <v>12980000</v>
      </c>
      <c r="M22" s="17">
        <f t="shared" si="4"/>
        <v>47.140878274268104</v>
      </c>
      <c r="N22" s="13"/>
      <c r="O22" s="13">
        <v>2204155</v>
      </c>
      <c r="P22" s="13"/>
      <c r="Q22" s="13"/>
      <c r="R22" s="13">
        <f t="shared" si="9"/>
        <v>2204155</v>
      </c>
      <c r="S22" s="13"/>
      <c r="T22" s="13">
        <v>5275000</v>
      </c>
      <c r="U22" s="17">
        <f t="shared" si="5"/>
        <v>41.784928909952605</v>
      </c>
      <c r="V22" s="13">
        <f t="shared" si="2"/>
        <v>-7705000</v>
      </c>
      <c r="W22" s="13">
        <f t="shared" si="3"/>
        <v>-3914731</v>
      </c>
      <c r="X22" s="17">
        <f t="shared" si="6"/>
        <v>50.80767034393251</v>
      </c>
    </row>
    <row r="23" spans="1:24" ht="12.75">
      <c r="A23" s="15" t="s">
        <v>73</v>
      </c>
      <c r="B23" s="16" t="s">
        <v>74</v>
      </c>
      <c r="C23" s="13">
        <v>1685062</v>
      </c>
      <c r="D23" s="13"/>
      <c r="E23" s="13">
        <v>559401</v>
      </c>
      <c r="F23" s="13">
        <v>300226</v>
      </c>
      <c r="G23" s="13">
        <v>65943</v>
      </c>
      <c r="H23" s="13">
        <v>35316</v>
      </c>
      <c r="I23" s="13"/>
      <c r="J23" s="13"/>
      <c r="K23" s="13">
        <f t="shared" si="7"/>
        <v>2645948</v>
      </c>
      <c r="L23" s="13">
        <v>5372000</v>
      </c>
      <c r="M23" s="17">
        <f t="shared" si="4"/>
        <v>49.254430379746836</v>
      </c>
      <c r="N23" s="13"/>
      <c r="O23" s="13">
        <v>1097460</v>
      </c>
      <c r="P23" s="13"/>
      <c r="Q23" s="13"/>
      <c r="R23" s="13">
        <f t="shared" si="9"/>
        <v>1097460</v>
      </c>
      <c r="S23" s="13"/>
      <c r="T23" s="13">
        <v>2423000</v>
      </c>
      <c r="U23" s="17">
        <f t="shared" si="5"/>
        <v>45.29343788691704</v>
      </c>
      <c r="V23" s="13">
        <f t="shared" si="2"/>
        <v>-2949000</v>
      </c>
      <c r="W23" s="13">
        <f t="shared" si="3"/>
        <v>-1548488</v>
      </c>
      <c r="X23" s="17">
        <f t="shared" si="6"/>
        <v>52.508918277382165</v>
      </c>
    </row>
    <row r="24" spans="1:24" ht="12.75">
      <c r="A24" s="15" t="s">
        <v>75</v>
      </c>
      <c r="B24" s="16" t="s">
        <v>76</v>
      </c>
      <c r="C24" s="13">
        <v>7919464</v>
      </c>
      <c r="D24" s="13">
        <v>286682</v>
      </c>
      <c r="E24" s="13">
        <v>2756638</v>
      </c>
      <c r="F24" s="13">
        <v>16152942</v>
      </c>
      <c r="G24" s="13">
        <v>2797835</v>
      </c>
      <c r="H24" s="13">
        <v>3699286</v>
      </c>
      <c r="I24" s="13"/>
      <c r="J24" s="13"/>
      <c r="K24" s="13">
        <f t="shared" si="7"/>
        <v>33612847</v>
      </c>
      <c r="L24" s="13">
        <v>64654000</v>
      </c>
      <c r="M24" s="17">
        <f t="shared" si="4"/>
        <v>51.98881275713799</v>
      </c>
      <c r="N24" s="13"/>
      <c r="O24" s="13"/>
      <c r="P24" s="13">
        <v>293008</v>
      </c>
      <c r="Q24" s="13">
        <f>5446127-293008</f>
        <v>5153119</v>
      </c>
      <c r="R24" s="13">
        <f t="shared" si="9"/>
        <v>5446127</v>
      </c>
      <c r="S24" s="13"/>
      <c r="T24" s="13">
        <v>17073000</v>
      </c>
      <c r="U24" s="17">
        <f t="shared" si="5"/>
        <v>31.899062847771336</v>
      </c>
      <c r="V24" s="13">
        <f t="shared" si="2"/>
        <v>-47581000</v>
      </c>
      <c r="W24" s="13">
        <f t="shared" si="3"/>
        <v>-28166720</v>
      </c>
      <c r="X24" s="17">
        <f t="shared" si="6"/>
        <v>59.1974107311742</v>
      </c>
    </row>
    <row r="25" spans="1:24" ht="12.75">
      <c r="A25" s="15" t="s">
        <v>77</v>
      </c>
      <c r="B25" s="16" t="s">
        <v>78</v>
      </c>
      <c r="C25" s="13"/>
      <c r="D25" s="13"/>
      <c r="E25" s="13"/>
      <c r="F25" s="13">
        <v>724134</v>
      </c>
      <c r="G25" s="13">
        <v>26327</v>
      </c>
      <c r="H25" s="13">
        <v>121166</v>
      </c>
      <c r="I25" s="13"/>
      <c r="J25" s="13"/>
      <c r="K25" s="13">
        <f t="shared" si="7"/>
        <v>871627</v>
      </c>
      <c r="L25" s="13">
        <v>3000000</v>
      </c>
      <c r="M25" s="17">
        <f t="shared" si="4"/>
        <v>29.054233333333336</v>
      </c>
      <c r="N25" s="13"/>
      <c r="O25" s="13"/>
      <c r="P25" s="13"/>
      <c r="Q25" s="13"/>
      <c r="R25" s="13">
        <f t="shared" si="9"/>
        <v>0</v>
      </c>
      <c r="S25" s="13"/>
      <c r="T25" s="13">
        <v>0</v>
      </c>
      <c r="U25" s="17">
        <v>0</v>
      </c>
      <c r="V25" s="13">
        <f t="shared" si="2"/>
        <v>-3000000</v>
      </c>
      <c r="W25" s="13">
        <f t="shared" si="3"/>
        <v>-871627</v>
      </c>
      <c r="X25" s="17">
        <f t="shared" si="6"/>
        <v>29.054233333333336</v>
      </c>
    </row>
    <row r="26" spans="1:24" ht="12.75">
      <c r="A26" s="15" t="s">
        <v>79</v>
      </c>
      <c r="B26" s="16" t="s">
        <v>80</v>
      </c>
      <c r="C26" s="13">
        <v>796347</v>
      </c>
      <c r="D26" s="13"/>
      <c r="E26" s="13">
        <v>266531</v>
      </c>
      <c r="F26" s="13">
        <v>687396</v>
      </c>
      <c r="G26" s="13">
        <v>383222</v>
      </c>
      <c r="H26" s="13">
        <v>162858</v>
      </c>
      <c r="I26" s="13"/>
      <c r="J26" s="13"/>
      <c r="K26" s="13">
        <f t="shared" si="7"/>
        <v>2296354</v>
      </c>
      <c r="L26" s="13">
        <v>7418000</v>
      </c>
      <c r="M26" s="17">
        <f t="shared" si="4"/>
        <v>30.95651118899973</v>
      </c>
      <c r="N26" s="13"/>
      <c r="O26" s="13"/>
      <c r="P26" s="13"/>
      <c r="Q26" s="13"/>
      <c r="R26" s="13">
        <f t="shared" si="9"/>
        <v>0</v>
      </c>
      <c r="S26" s="13"/>
      <c r="T26" s="13">
        <v>28000</v>
      </c>
      <c r="U26" s="17">
        <f t="shared" si="5"/>
        <v>0</v>
      </c>
      <c r="V26" s="13">
        <f t="shared" si="2"/>
        <v>-7390000</v>
      </c>
      <c r="W26" s="13">
        <f t="shared" si="3"/>
        <v>-2296354</v>
      </c>
      <c r="X26" s="17">
        <f t="shared" si="6"/>
        <v>31.07380243572395</v>
      </c>
    </row>
    <row r="27" spans="1:24" ht="12.75">
      <c r="A27" s="15" t="s">
        <v>81</v>
      </c>
      <c r="B27" s="16" t="s">
        <v>82</v>
      </c>
      <c r="C27" s="13"/>
      <c r="D27" s="13"/>
      <c r="E27" s="13"/>
      <c r="F27" s="13"/>
      <c r="G27" s="13"/>
      <c r="H27" s="13"/>
      <c r="I27" s="13"/>
      <c r="J27" s="13"/>
      <c r="K27" s="13">
        <f t="shared" si="7"/>
        <v>0</v>
      </c>
      <c r="L27" s="13">
        <v>9794061</v>
      </c>
      <c r="M27" s="17">
        <v>0</v>
      </c>
      <c r="N27" s="13"/>
      <c r="O27" s="13"/>
      <c r="P27" s="13"/>
      <c r="Q27" s="13">
        <v>9794061</v>
      </c>
      <c r="R27" s="13">
        <f t="shared" si="9"/>
        <v>9794061</v>
      </c>
      <c r="S27" s="13"/>
      <c r="T27" s="13">
        <v>9794061</v>
      </c>
      <c r="U27" s="17">
        <v>0</v>
      </c>
      <c r="V27" s="13">
        <f t="shared" si="2"/>
        <v>0</v>
      </c>
      <c r="W27" s="13">
        <f t="shared" si="3"/>
        <v>9794061</v>
      </c>
      <c r="X27" s="17">
        <v>0</v>
      </c>
    </row>
    <row r="28" spans="1:24" ht="12.75">
      <c r="A28" s="15" t="s">
        <v>83</v>
      </c>
      <c r="B28" s="16" t="s">
        <v>84</v>
      </c>
      <c r="C28" s="13">
        <v>11025475</v>
      </c>
      <c r="D28" s="13"/>
      <c r="E28" s="13">
        <v>3616733</v>
      </c>
      <c r="F28" s="13">
        <v>972834</v>
      </c>
      <c r="G28" s="13">
        <v>1567251</v>
      </c>
      <c r="H28" s="13">
        <v>591822</v>
      </c>
      <c r="I28" s="13">
        <v>1351206</v>
      </c>
      <c r="J28" s="13"/>
      <c r="K28" s="13">
        <f t="shared" si="7"/>
        <v>19125321</v>
      </c>
      <c r="L28" s="13">
        <v>37389000</v>
      </c>
      <c r="M28" s="17">
        <f t="shared" si="4"/>
        <v>51.15226670946</v>
      </c>
      <c r="N28" s="13"/>
      <c r="O28" s="13"/>
      <c r="P28" s="13"/>
      <c r="Q28" s="13">
        <v>1211353</v>
      </c>
      <c r="R28" s="13">
        <f t="shared" si="9"/>
        <v>1211353</v>
      </c>
      <c r="S28" s="13"/>
      <c r="T28" s="13">
        <v>2460491</v>
      </c>
      <c r="U28" s="17">
        <f t="shared" si="5"/>
        <v>49.2321654499041</v>
      </c>
      <c r="V28" s="13">
        <f t="shared" si="2"/>
        <v>-34928509</v>
      </c>
      <c r="W28" s="13">
        <f t="shared" si="3"/>
        <v>-17913968</v>
      </c>
      <c r="X28" s="17">
        <f t="shared" si="6"/>
        <v>51.28752561410509</v>
      </c>
    </row>
    <row r="29" spans="1:24" ht="12.75">
      <c r="A29" s="15" t="s">
        <v>85</v>
      </c>
      <c r="B29" s="16" t="s">
        <v>86</v>
      </c>
      <c r="C29" s="13">
        <v>4124495</v>
      </c>
      <c r="D29" s="13"/>
      <c r="E29" s="13">
        <v>1382074</v>
      </c>
      <c r="F29" s="13">
        <v>1314279</v>
      </c>
      <c r="G29" s="13">
        <v>1500663</v>
      </c>
      <c r="H29" s="13">
        <v>532255</v>
      </c>
      <c r="I29" s="13"/>
      <c r="J29" s="13"/>
      <c r="K29" s="13">
        <f t="shared" si="7"/>
        <v>8853766</v>
      </c>
      <c r="L29" s="13">
        <v>19462000</v>
      </c>
      <c r="M29" s="17">
        <f t="shared" si="4"/>
        <v>45.492580413112734</v>
      </c>
      <c r="N29" s="13"/>
      <c r="O29" s="13"/>
      <c r="P29" s="13"/>
      <c r="Q29" s="13">
        <v>749785</v>
      </c>
      <c r="R29" s="13">
        <f t="shared" si="9"/>
        <v>749785</v>
      </c>
      <c r="S29" s="13"/>
      <c r="T29" s="13">
        <v>1202000</v>
      </c>
      <c r="U29" s="17">
        <f t="shared" si="5"/>
        <v>62.378119800332776</v>
      </c>
      <c r="V29" s="13">
        <f t="shared" si="2"/>
        <v>-18260000</v>
      </c>
      <c r="W29" s="13">
        <f t="shared" si="3"/>
        <v>-8103981</v>
      </c>
      <c r="X29" s="17">
        <f t="shared" si="6"/>
        <v>44.3810569550931</v>
      </c>
    </row>
    <row r="30" spans="1:24" ht="12.75">
      <c r="A30" s="15" t="s">
        <v>87</v>
      </c>
      <c r="B30" s="16" t="s">
        <v>88</v>
      </c>
      <c r="C30" s="13"/>
      <c r="D30" s="13"/>
      <c r="E30" s="13"/>
      <c r="F30" s="13"/>
      <c r="G30" s="13">
        <v>692257</v>
      </c>
      <c r="H30" s="13">
        <v>138452</v>
      </c>
      <c r="I30" s="13"/>
      <c r="J30" s="13"/>
      <c r="K30" s="13">
        <f t="shared" si="7"/>
        <v>830709</v>
      </c>
      <c r="L30" s="13">
        <v>1500000</v>
      </c>
      <c r="M30" s="17">
        <f t="shared" si="4"/>
        <v>55.3806</v>
      </c>
      <c r="N30" s="13"/>
      <c r="O30" s="13"/>
      <c r="P30" s="13"/>
      <c r="Q30" s="13">
        <v>1264800</v>
      </c>
      <c r="R30" s="13">
        <f t="shared" si="9"/>
        <v>1264800</v>
      </c>
      <c r="S30" s="13"/>
      <c r="T30" s="13">
        <v>2500000</v>
      </c>
      <c r="U30" s="17">
        <f t="shared" si="5"/>
        <v>50.592000000000006</v>
      </c>
      <c r="V30" s="13">
        <f t="shared" si="2"/>
        <v>1000000</v>
      </c>
      <c r="W30" s="13">
        <f t="shared" si="3"/>
        <v>434091</v>
      </c>
      <c r="X30" s="17">
        <f t="shared" si="6"/>
        <v>43.4091</v>
      </c>
    </row>
    <row r="31" spans="1:24" s="22" customFormat="1" ht="12.75">
      <c r="A31" s="18"/>
      <c r="B31" s="19" t="s">
        <v>89</v>
      </c>
      <c r="C31" s="20">
        <f aca="true" t="shared" si="10" ref="C31:L31">SUM(C20:C30)</f>
        <v>80736778</v>
      </c>
      <c r="D31" s="20">
        <f t="shared" si="10"/>
        <v>831597</v>
      </c>
      <c r="E31" s="20">
        <f t="shared" si="10"/>
        <v>27276139</v>
      </c>
      <c r="F31" s="20">
        <f t="shared" si="10"/>
        <v>28368386</v>
      </c>
      <c r="G31" s="20">
        <f t="shared" si="10"/>
        <v>28064410</v>
      </c>
      <c r="H31" s="20">
        <f t="shared" si="10"/>
        <v>9702010</v>
      </c>
      <c r="I31" s="20">
        <f t="shared" si="10"/>
        <v>2236206</v>
      </c>
      <c r="J31" s="20">
        <f t="shared" si="10"/>
        <v>0</v>
      </c>
      <c r="K31" s="20">
        <f t="shared" si="10"/>
        <v>177215526</v>
      </c>
      <c r="L31" s="20">
        <f t="shared" si="10"/>
        <v>363557061</v>
      </c>
      <c r="M31" s="21">
        <f t="shared" si="4"/>
        <v>48.74490004747838</v>
      </c>
      <c r="N31" s="20">
        <f aca="true" t="shared" si="11" ref="N31:T31">SUM(N20:N30)</f>
        <v>0</v>
      </c>
      <c r="O31" s="20">
        <f t="shared" si="11"/>
        <v>66860800</v>
      </c>
      <c r="P31" s="20">
        <f t="shared" si="11"/>
        <v>645183</v>
      </c>
      <c r="Q31" s="20">
        <f t="shared" si="11"/>
        <v>19058118</v>
      </c>
      <c r="R31" s="20">
        <f t="shared" si="11"/>
        <v>86564101</v>
      </c>
      <c r="S31" s="20">
        <f t="shared" si="11"/>
        <v>0</v>
      </c>
      <c r="T31" s="20">
        <f t="shared" si="11"/>
        <v>172085552</v>
      </c>
      <c r="U31" s="21">
        <f t="shared" si="5"/>
        <v>50.30294524667591</v>
      </c>
      <c r="V31" s="20">
        <f>SUM(V20:V30)</f>
        <v>-191471509</v>
      </c>
      <c r="W31" s="20">
        <f>SUM(W20:W30)</f>
        <v>-90651425</v>
      </c>
      <c r="X31" s="21">
        <f t="shared" si="6"/>
        <v>47.344602585233716</v>
      </c>
    </row>
    <row r="32" spans="1:24" s="27" customFormat="1" ht="13.5">
      <c r="A32" s="23"/>
      <c r="B32" s="24" t="s">
        <v>66</v>
      </c>
      <c r="C32" s="25">
        <f>165340000+600000</f>
        <v>165940000</v>
      </c>
      <c r="D32" s="25">
        <v>1600000</v>
      </c>
      <c r="E32" s="25">
        <f>54965000+100000</f>
        <v>55065000</v>
      </c>
      <c r="F32" s="25">
        <f>59285000+400000</f>
        <v>59685000</v>
      </c>
      <c r="G32" s="25">
        <v>50388000</v>
      </c>
      <c r="H32" s="25">
        <f>18390000+310000</f>
        <v>18700000</v>
      </c>
      <c r="I32" s="25">
        <f>1500000+885000</f>
        <v>2385000</v>
      </c>
      <c r="J32" s="25">
        <v>9794061</v>
      </c>
      <c r="K32" s="25"/>
      <c r="L32" s="25">
        <f>SUM(C32:J32)</f>
        <v>363557061</v>
      </c>
      <c r="M32" s="26"/>
      <c r="N32" s="25"/>
      <c r="O32" s="25">
        <v>133300000</v>
      </c>
      <c r="P32" s="25">
        <f>13047000-6200509</f>
        <v>6846491</v>
      </c>
      <c r="Q32" s="25">
        <f>166197000-133300000-13047000+12089061</f>
        <v>31939061</v>
      </c>
      <c r="R32" s="25"/>
      <c r="S32" s="25"/>
      <c r="T32" s="25">
        <f>SUM(N32:S32)</f>
        <v>172085552</v>
      </c>
      <c r="U32" s="26"/>
      <c r="V32" s="25"/>
      <c r="W32" s="25"/>
      <c r="X32" s="26"/>
    </row>
    <row r="33" spans="1:24" ht="12.75">
      <c r="A33" s="15" t="s">
        <v>90</v>
      </c>
      <c r="B33" s="16" t="s">
        <v>91</v>
      </c>
      <c r="C33" s="13">
        <v>3680679</v>
      </c>
      <c r="D33" s="13">
        <v>343276</v>
      </c>
      <c r="E33" s="13">
        <v>1312704</v>
      </c>
      <c r="F33" s="13">
        <v>658044</v>
      </c>
      <c r="G33" s="13">
        <v>10705842</v>
      </c>
      <c r="H33" s="13">
        <v>373129</v>
      </c>
      <c r="I33" s="13">
        <v>310896</v>
      </c>
      <c r="J33" s="13"/>
      <c r="K33" s="13">
        <f t="shared" si="7"/>
        <v>17384570</v>
      </c>
      <c r="L33" s="13">
        <v>35576000</v>
      </c>
      <c r="M33" s="17">
        <f t="shared" si="4"/>
        <v>48.866005172026085</v>
      </c>
      <c r="N33" s="13">
        <v>14430600</v>
      </c>
      <c r="O33" s="13"/>
      <c r="P33" s="13"/>
      <c r="Q33" s="13"/>
      <c r="R33" s="13">
        <f>SUM(N33:Q33)</f>
        <v>14430600</v>
      </c>
      <c r="S33" s="13"/>
      <c r="T33" s="13">
        <v>31385000</v>
      </c>
      <c r="U33" s="17">
        <f t="shared" si="5"/>
        <v>45.979289469491796</v>
      </c>
      <c r="V33" s="13">
        <f t="shared" si="2"/>
        <v>-4191000</v>
      </c>
      <c r="W33" s="13">
        <f t="shared" si="3"/>
        <v>-2953970</v>
      </c>
      <c r="X33" s="17">
        <f t="shared" si="6"/>
        <v>70.48365545215938</v>
      </c>
    </row>
    <row r="34" spans="1:24" ht="12.75">
      <c r="A34" s="15" t="s">
        <v>92</v>
      </c>
      <c r="B34" s="16" t="s">
        <v>93</v>
      </c>
      <c r="C34" s="13">
        <v>443711</v>
      </c>
      <c r="D34" s="13"/>
      <c r="E34" s="13">
        <v>147835</v>
      </c>
      <c r="F34" s="13">
        <v>139278</v>
      </c>
      <c r="G34" s="13">
        <v>488624</v>
      </c>
      <c r="H34" s="13">
        <v>125215</v>
      </c>
      <c r="I34" s="13"/>
      <c r="J34" s="13"/>
      <c r="K34" s="13">
        <f t="shared" si="7"/>
        <v>1344663</v>
      </c>
      <c r="L34" s="13">
        <v>2597000</v>
      </c>
      <c r="M34" s="17">
        <f t="shared" si="4"/>
        <v>51.77755102040816</v>
      </c>
      <c r="N34" s="13">
        <v>1010400</v>
      </c>
      <c r="O34" s="13"/>
      <c r="P34" s="13"/>
      <c r="Q34" s="13"/>
      <c r="R34" s="13">
        <f>SUM(N34:Q34)</f>
        <v>1010400</v>
      </c>
      <c r="S34" s="13"/>
      <c r="T34" s="13">
        <v>2031000</v>
      </c>
      <c r="U34" s="17">
        <f t="shared" si="5"/>
        <v>49.74889217134417</v>
      </c>
      <c r="V34" s="13">
        <f t="shared" si="2"/>
        <v>-566000</v>
      </c>
      <c r="W34" s="13">
        <f t="shared" si="3"/>
        <v>-334263</v>
      </c>
      <c r="X34" s="17">
        <f t="shared" si="6"/>
        <v>59.057067137809184</v>
      </c>
    </row>
    <row r="35" spans="1:24" ht="12.75">
      <c r="A35" s="15" t="s">
        <v>94</v>
      </c>
      <c r="B35" s="16" t="s">
        <v>95</v>
      </c>
      <c r="C35" s="13">
        <v>9915413</v>
      </c>
      <c r="D35" s="13"/>
      <c r="E35" s="13">
        <v>3203338</v>
      </c>
      <c r="F35" s="13">
        <v>220007</v>
      </c>
      <c r="G35" s="13">
        <v>616359</v>
      </c>
      <c r="H35" s="13">
        <v>172297</v>
      </c>
      <c r="I35" s="13"/>
      <c r="J35" s="13"/>
      <c r="K35" s="13">
        <f t="shared" si="7"/>
        <v>14127414</v>
      </c>
      <c r="L35" s="13">
        <v>29663000</v>
      </c>
      <c r="M35" s="17">
        <f t="shared" si="4"/>
        <v>47.62638303610559</v>
      </c>
      <c r="N35" s="13">
        <v>14673600</v>
      </c>
      <c r="O35" s="13"/>
      <c r="P35" s="13"/>
      <c r="Q35" s="13"/>
      <c r="R35" s="13">
        <f>SUM(N35:Q35)</f>
        <v>14673600</v>
      </c>
      <c r="S35" s="13"/>
      <c r="T35" s="13">
        <v>30973000</v>
      </c>
      <c r="U35" s="17">
        <f t="shared" si="5"/>
        <v>47.375456042359474</v>
      </c>
      <c r="V35" s="13">
        <f t="shared" si="2"/>
        <v>1310000</v>
      </c>
      <c r="W35" s="13">
        <f t="shared" si="3"/>
        <v>546186</v>
      </c>
      <c r="X35" s="17">
        <f t="shared" si="6"/>
        <v>41.69358778625954</v>
      </c>
    </row>
    <row r="36" spans="1:24" ht="12.75">
      <c r="A36" s="15" t="s">
        <v>96</v>
      </c>
      <c r="B36" s="16" t="s">
        <v>97</v>
      </c>
      <c r="C36" s="13"/>
      <c r="D36" s="13"/>
      <c r="E36" s="13"/>
      <c r="F36" s="13"/>
      <c r="G36" s="13">
        <v>539400</v>
      </c>
      <c r="H36" s="13"/>
      <c r="I36" s="13"/>
      <c r="J36" s="13"/>
      <c r="K36" s="13">
        <f t="shared" si="7"/>
        <v>539400</v>
      </c>
      <c r="L36" s="13">
        <v>1400000</v>
      </c>
      <c r="M36" s="17">
        <f t="shared" si="4"/>
        <v>38.52857142857143</v>
      </c>
      <c r="N36" s="13">
        <v>707400</v>
      </c>
      <c r="O36" s="13"/>
      <c r="P36" s="13"/>
      <c r="Q36" s="13"/>
      <c r="R36" s="13">
        <f>SUM(N36:Q36)</f>
        <v>707400</v>
      </c>
      <c r="S36" s="13"/>
      <c r="T36" s="13">
        <v>1400000</v>
      </c>
      <c r="U36" s="17">
        <f t="shared" si="5"/>
        <v>50.52857142857143</v>
      </c>
      <c r="V36" s="13">
        <f t="shared" si="2"/>
        <v>0</v>
      </c>
      <c r="W36" s="13">
        <f t="shared" si="3"/>
        <v>168000</v>
      </c>
      <c r="X36" s="17">
        <v>0</v>
      </c>
    </row>
    <row r="37" spans="1:24" ht="12.75">
      <c r="A37" s="15" t="s">
        <v>98</v>
      </c>
      <c r="B37" s="16" t="s">
        <v>99</v>
      </c>
      <c r="C37" s="13">
        <v>3180311</v>
      </c>
      <c r="D37" s="13">
        <v>1623500</v>
      </c>
      <c r="E37" s="13">
        <v>1483217</v>
      </c>
      <c r="F37" s="13">
        <v>484728</v>
      </c>
      <c r="G37" s="13">
        <v>7174822</v>
      </c>
      <c r="H37" s="13">
        <v>286725</v>
      </c>
      <c r="I37" s="13"/>
      <c r="J37" s="13"/>
      <c r="K37" s="13">
        <f t="shared" si="7"/>
        <v>14233303</v>
      </c>
      <c r="L37" s="13">
        <v>26757000</v>
      </c>
      <c r="M37" s="17">
        <f t="shared" si="4"/>
        <v>53.19468924019882</v>
      </c>
      <c r="N37" s="13">
        <v>6117600</v>
      </c>
      <c r="O37" s="13"/>
      <c r="P37" s="13"/>
      <c r="Q37" s="13"/>
      <c r="R37" s="13">
        <f>SUM(N37:Q37)</f>
        <v>6117600</v>
      </c>
      <c r="S37" s="13"/>
      <c r="T37" s="13">
        <v>12477000</v>
      </c>
      <c r="U37" s="17">
        <f t="shared" si="5"/>
        <v>49.0310170714114</v>
      </c>
      <c r="V37" s="13">
        <f t="shared" si="2"/>
        <v>-14280000</v>
      </c>
      <c r="W37" s="13">
        <f t="shared" si="3"/>
        <v>-8115703</v>
      </c>
      <c r="X37" s="17">
        <f t="shared" si="6"/>
        <v>56.83265406162465</v>
      </c>
    </row>
    <row r="38" spans="1:24" s="22" customFormat="1" ht="12.75">
      <c r="A38" s="18"/>
      <c r="B38" s="19" t="s">
        <v>100</v>
      </c>
      <c r="C38" s="20">
        <f>SUM(C33:C37)</f>
        <v>17220114</v>
      </c>
      <c r="D38" s="20">
        <f aca="true" t="shared" si="12" ref="D38:W38">SUM(D33:D37)</f>
        <v>1966776</v>
      </c>
      <c r="E38" s="20">
        <f t="shared" si="12"/>
        <v>6147094</v>
      </c>
      <c r="F38" s="20">
        <f t="shared" si="12"/>
        <v>1502057</v>
      </c>
      <c r="G38" s="20">
        <f t="shared" si="12"/>
        <v>19525047</v>
      </c>
      <c r="H38" s="20">
        <f t="shared" si="12"/>
        <v>957366</v>
      </c>
      <c r="I38" s="20">
        <f t="shared" si="12"/>
        <v>310896</v>
      </c>
      <c r="J38" s="20">
        <f t="shared" si="12"/>
        <v>0</v>
      </c>
      <c r="K38" s="20">
        <f t="shared" si="12"/>
        <v>47629350</v>
      </c>
      <c r="L38" s="20">
        <f t="shared" si="12"/>
        <v>95993000</v>
      </c>
      <c r="M38" s="21">
        <f t="shared" si="4"/>
        <v>49.61752419447251</v>
      </c>
      <c r="N38" s="20">
        <f t="shared" si="12"/>
        <v>36939600</v>
      </c>
      <c r="O38" s="20">
        <f t="shared" si="12"/>
        <v>0</v>
      </c>
      <c r="P38" s="20">
        <f t="shared" si="12"/>
        <v>0</v>
      </c>
      <c r="Q38" s="20">
        <f t="shared" si="12"/>
        <v>0</v>
      </c>
      <c r="R38" s="20">
        <f t="shared" si="12"/>
        <v>36939600</v>
      </c>
      <c r="S38" s="20">
        <f t="shared" si="12"/>
        <v>0</v>
      </c>
      <c r="T38" s="20">
        <f t="shared" si="12"/>
        <v>78266000</v>
      </c>
      <c r="U38" s="21">
        <f t="shared" si="5"/>
        <v>47.197505941277186</v>
      </c>
      <c r="V38" s="20">
        <f t="shared" si="12"/>
        <v>-17727000</v>
      </c>
      <c r="W38" s="20">
        <f t="shared" si="12"/>
        <v>-10689750</v>
      </c>
      <c r="X38" s="21">
        <f t="shared" si="6"/>
        <v>60.3020815704857</v>
      </c>
    </row>
    <row r="39" spans="1:24" s="27" customFormat="1" ht="13.5">
      <c r="A39" s="23"/>
      <c r="B39" s="24" t="s">
        <v>66</v>
      </c>
      <c r="C39" s="25">
        <v>32719000</v>
      </c>
      <c r="D39" s="25">
        <v>4100000</v>
      </c>
      <c r="E39" s="25">
        <v>11844000</v>
      </c>
      <c r="F39" s="25">
        <v>3950000</v>
      </c>
      <c r="G39" s="25">
        <v>41380000</v>
      </c>
      <c r="H39" s="25">
        <v>2000000</v>
      </c>
      <c r="I39" s="25"/>
      <c r="J39" s="25"/>
      <c r="K39" s="25"/>
      <c r="L39" s="25">
        <f>SUM(C39:J39)</f>
        <v>95993000</v>
      </c>
      <c r="M39" s="26"/>
      <c r="N39" s="25">
        <v>76600000</v>
      </c>
      <c r="O39" s="25"/>
      <c r="P39" s="25"/>
      <c r="Q39" s="25">
        <f>3210000-1544000</f>
        <v>1666000</v>
      </c>
      <c r="R39" s="25"/>
      <c r="S39" s="25"/>
      <c r="T39" s="25">
        <f>SUM(N39:S39)</f>
        <v>78266000</v>
      </c>
      <c r="U39" s="26"/>
      <c r="V39" s="25"/>
      <c r="W39" s="25"/>
      <c r="X39" s="26"/>
    </row>
    <row r="40" spans="1:24" s="22" customFormat="1" ht="12.75">
      <c r="A40" s="18" t="s">
        <v>101</v>
      </c>
      <c r="B40" s="19" t="s">
        <v>102</v>
      </c>
      <c r="C40" s="20">
        <v>12239077</v>
      </c>
      <c r="D40" s="20">
        <v>344700</v>
      </c>
      <c r="E40" s="20">
        <v>4107701</v>
      </c>
      <c r="F40" s="20">
        <v>2695288</v>
      </c>
      <c r="G40" s="20">
        <v>2035693</v>
      </c>
      <c r="H40" s="20">
        <v>1005436</v>
      </c>
      <c r="I40" s="20"/>
      <c r="J40" s="20"/>
      <c r="K40" s="20">
        <f>SUM(C40:J40)</f>
        <v>22427895</v>
      </c>
      <c r="L40" s="20">
        <v>45445000</v>
      </c>
      <c r="M40" s="21">
        <f>K40/L40*100</f>
        <v>49.35173286390142</v>
      </c>
      <c r="N40" s="20"/>
      <c r="O40" s="20"/>
      <c r="P40" s="20">
        <f>110631+497000</f>
        <v>607631</v>
      </c>
      <c r="Q40" s="20">
        <f>5246074-607631</f>
        <v>4638443</v>
      </c>
      <c r="R40" s="20">
        <f>SUM(N40:Q40)</f>
        <v>5246074</v>
      </c>
      <c r="S40" s="20"/>
      <c r="T40" s="20">
        <v>9082000</v>
      </c>
      <c r="U40" s="21">
        <f>(R40+S40)/T40*100</f>
        <v>57.76342215371064</v>
      </c>
      <c r="V40" s="20">
        <f>T40-L40</f>
        <v>-36363000</v>
      </c>
      <c r="W40" s="20">
        <f>R40+S40-K40</f>
        <v>-17181821</v>
      </c>
      <c r="X40" s="21">
        <f>W40/V40*100</f>
        <v>47.25083463960619</v>
      </c>
    </row>
    <row r="41" spans="1:24" s="27" customFormat="1" ht="13.5">
      <c r="A41" s="23"/>
      <c r="B41" s="24" t="s">
        <v>66</v>
      </c>
      <c r="C41" s="25">
        <v>25693000</v>
      </c>
      <c r="D41" s="25">
        <v>300000</v>
      </c>
      <c r="E41" s="25">
        <v>8657000</v>
      </c>
      <c r="F41" s="25">
        <v>4655000</v>
      </c>
      <c r="G41" s="25">
        <v>4440000</v>
      </c>
      <c r="H41" s="25">
        <v>1700000</v>
      </c>
      <c r="I41" s="25"/>
      <c r="J41" s="25"/>
      <c r="K41" s="25"/>
      <c r="L41" s="25">
        <f>SUM(C41:J41)</f>
        <v>45445000</v>
      </c>
      <c r="M41" s="28"/>
      <c r="N41" s="25"/>
      <c r="O41" s="25">
        <v>1550000</v>
      </c>
      <c r="P41" s="25">
        <v>1348000</v>
      </c>
      <c r="Q41" s="25">
        <f>10212000-2478000-1550000</f>
        <v>6184000</v>
      </c>
      <c r="R41" s="25"/>
      <c r="S41" s="25"/>
      <c r="T41" s="25">
        <f>SUM(N41:S41)</f>
        <v>9082000</v>
      </c>
      <c r="U41" s="28"/>
      <c r="V41" s="25"/>
      <c r="W41" s="25"/>
      <c r="X41" s="28"/>
    </row>
    <row r="42" spans="1:24" s="32" customFormat="1" ht="12.75">
      <c r="A42" s="29" t="s">
        <v>103</v>
      </c>
      <c r="B42" s="30" t="s">
        <v>104</v>
      </c>
      <c r="C42" s="31">
        <v>577850</v>
      </c>
      <c r="D42" s="31"/>
      <c r="E42" s="31">
        <v>188425</v>
      </c>
      <c r="F42" s="31">
        <v>44070</v>
      </c>
      <c r="G42" s="31">
        <v>1735629</v>
      </c>
      <c r="H42" s="31">
        <v>377756</v>
      </c>
      <c r="I42" s="31"/>
      <c r="J42" s="31"/>
      <c r="K42" s="31">
        <f>SUM(C42:J42)</f>
        <v>2923730</v>
      </c>
      <c r="L42" s="31">
        <v>6866000</v>
      </c>
      <c r="M42" s="17">
        <f>K42/L42*100</f>
        <v>42.582726478298866</v>
      </c>
      <c r="N42" s="31"/>
      <c r="O42" s="31"/>
      <c r="P42" s="31"/>
      <c r="Q42" s="31">
        <v>2287319</v>
      </c>
      <c r="R42" s="31">
        <f>SUM(N42:Q42)</f>
        <v>2287319</v>
      </c>
      <c r="S42" s="31"/>
      <c r="T42" s="31">
        <v>4438000</v>
      </c>
      <c r="U42" s="17">
        <f>(R42+S42)/T42*100</f>
        <v>51.53940964398378</v>
      </c>
      <c r="V42" s="31">
        <f>T42-L42</f>
        <v>-2428000</v>
      </c>
      <c r="W42" s="31">
        <f>R42+S42-K42</f>
        <v>-636411</v>
      </c>
      <c r="X42" s="17">
        <f>W42/V42*100</f>
        <v>26.211326194398683</v>
      </c>
    </row>
    <row r="43" spans="1:24" s="32" customFormat="1" ht="12.75">
      <c r="A43" s="29" t="s">
        <v>105</v>
      </c>
      <c r="B43" s="30" t="s">
        <v>106</v>
      </c>
      <c r="C43" s="31">
        <v>844314</v>
      </c>
      <c r="D43" s="31"/>
      <c r="E43" s="31">
        <v>285779</v>
      </c>
      <c r="F43" s="31">
        <v>72572</v>
      </c>
      <c r="G43" s="31">
        <v>81954</v>
      </c>
      <c r="H43" s="31">
        <v>30875</v>
      </c>
      <c r="I43" s="31"/>
      <c r="J43" s="31"/>
      <c r="K43" s="31">
        <f>SUM(C43:J43)</f>
        <v>1315494</v>
      </c>
      <c r="L43" s="31">
        <v>5354000</v>
      </c>
      <c r="M43" s="17">
        <f>K43/L43*100</f>
        <v>24.57030257751214</v>
      </c>
      <c r="N43" s="31"/>
      <c r="O43" s="31">
        <v>49310</v>
      </c>
      <c r="P43" s="31">
        <v>150000</v>
      </c>
      <c r="Q43" s="31"/>
      <c r="R43" s="31">
        <f>SUM(N43:Q43)</f>
        <v>199310</v>
      </c>
      <c r="S43" s="31"/>
      <c r="T43" s="31">
        <v>61000</v>
      </c>
      <c r="U43" s="17">
        <f>(R43+S43)/T43*100</f>
        <v>326.7377049180328</v>
      </c>
      <c r="V43" s="31">
        <f>T43-L43</f>
        <v>-5293000</v>
      </c>
      <c r="W43" s="31">
        <f>R43+S43-K43</f>
        <v>-1116184</v>
      </c>
      <c r="X43" s="17">
        <f>W43/V43*100</f>
        <v>21.08792745135084</v>
      </c>
    </row>
    <row r="44" spans="1:24" s="32" customFormat="1" ht="12.75">
      <c r="A44" s="29" t="s">
        <v>107</v>
      </c>
      <c r="B44" s="30" t="s">
        <v>108</v>
      </c>
      <c r="C44" s="31">
        <v>1151507</v>
      </c>
      <c r="D44" s="31">
        <v>136620</v>
      </c>
      <c r="E44" s="31">
        <v>393716</v>
      </c>
      <c r="F44" s="31">
        <v>8979</v>
      </c>
      <c r="G44" s="31">
        <v>2000</v>
      </c>
      <c r="H44" s="31">
        <v>9686</v>
      </c>
      <c r="I44" s="31"/>
      <c r="J44" s="31"/>
      <c r="K44" s="31">
        <f>SUM(C44:J44)</f>
        <v>1702508</v>
      </c>
      <c r="L44" s="31">
        <v>3533000</v>
      </c>
      <c r="M44" s="17">
        <f>K44/L44*100</f>
        <v>48.1887347863006</v>
      </c>
      <c r="N44" s="31"/>
      <c r="O44" s="31"/>
      <c r="P44" s="31">
        <v>25950</v>
      </c>
      <c r="Q44" s="31">
        <v>400000</v>
      </c>
      <c r="R44" s="31">
        <f>SUM(N44:Q44)</f>
        <v>425950</v>
      </c>
      <c r="S44" s="31"/>
      <c r="T44" s="31">
        <v>438000</v>
      </c>
      <c r="U44" s="17">
        <f>(R44+S44)/T44*100</f>
        <v>97.24885844748859</v>
      </c>
      <c r="V44" s="31">
        <f>T44-L44</f>
        <v>-3095000</v>
      </c>
      <c r="W44" s="31">
        <f>R44+S44-K44</f>
        <v>-1276558</v>
      </c>
      <c r="X44" s="17">
        <f>W44/V44*100</f>
        <v>41.24581583198707</v>
      </c>
    </row>
    <row r="45" spans="1:24" s="22" customFormat="1" ht="12.75">
      <c r="A45" s="18"/>
      <c r="B45" s="19" t="s">
        <v>109</v>
      </c>
      <c r="C45" s="20">
        <f aca="true" t="shared" si="13" ref="C45:L45">SUM(C42:C44)</f>
        <v>2573671</v>
      </c>
      <c r="D45" s="20">
        <f t="shared" si="13"/>
        <v>136620</v>
      </c>
      <c r="E45" s="20">
        <f t="shared" si="13"/>
        <v>867920</v>
      </c>
      <c r="F45" s="20">
        <f t="shared" si="13"/>
        <v>125621</v>
      </c>
      <c r="G45" s="20">
        <f t="shared" si="13"/>
        <v>1819583</v>
      </c>
      <c r="H45" s="20">
        <f t="shared" si="13"/>
        <v>418317</v>
      </c>
      <c r="I45" s="20">
        <f t="shared" si="13"/>
        <v>0</v>
      </c>
      <c r="J45" s="20">
        <f t="shared" si="13"/>
        <v>0</v>
      </c>
      <c r="K45" s="20">
        <f t="shared" si="13"/>
        <v>5941732</v>
      </c>
      <c r="L45" s="20">
        <f t="shared" si="13"/>
        <v>15753000</v>
      </c>
      <c r="M45" s="21">
        <f>K45/L45*100</f>
        <v>37.71809814003682</v>
      </c>
      <c r="N45" s="20">
        <f aca="true" t="shared" si="14" ref="N45:T45">SUM(N42:N44)</f>
        <v>0</v>
      </c>
      <c r="O45" s="20">
        <f t="shared" si="14"/>
        <v>49310</v>
      </c>
      <c r="P45" s="20">
        <f t="shared" si="14"/>
        <v>175950</v>
      </c>
      <c r="Q45" s="20">
        <f t="shared" si="14"/>
        <v>2687319</v>
      </c>
      <c r="R45" s="20">
        <f t="shared" si="14"/>
        <v>2912579</v>
      </c>
      <c r="S45" s="20">
        <f t="shared" si="14"/>
        <v>0</v>
      </c>
      <c r="T45" s="20">
        <f t="shared" si="14"/>
        <v>4937000</v>
      </c>
      <c r="U45" s="21">
        <f>(R45+S45)/T45*100</f>
        <v>58.994915940854774</v>
      </c>
      <c r="V45" s="20">
        <f>SUM(V42:V44)</f>
        <v>-10816000</v>
      </c>
      <c r="W45" s="20">
        <f>SUM(W42:W44)</f>
        <v>-3029153</v>
      </c>
      <c r="X45" s="21">
        <f>W45/V45*100</f>
        <v>28.006222263313607</v>
      </c>
    </row>
    <row r="46" spans="1:24" s="27" customFormat="1" ht="13.5">
      <c r="A46" s="23"/>
      <c r="B46" s="24" t="s">
        <v>66</v>
      </c>
      <c r="C46" s="25">
        <f>4448000+300000</f>
        <v>4748000</v>
      </c>
      <c r="D46" s="25">
        <v>196000</v>
      </c>
      <c r="E46" s="25">
        <f>1335000+100000</f>
        <v>1435000</v>
      </c>
      <c r="F46" s="25">
        <v>1320000</v>
      </c>
      <c r="G46" s="25">
        <v>6154000</v>
      </c>
      <c r="H46" s="25">
        <v>1900000</v>
      </c>
      <c r="I46" s="25"/>
      <c r="J46" s="25"/>
      <c r="K46" s="25"/>
      <c r="L46" s="25">
        <f>SUM(C46:J46)</f>
        <v>15753000</v>
      </c>
      <c r="M46" s="26"/>
      <c r="N46" s="25"/>
      <c r="O46" s="25"/>
      <c r="P46" s="25">
        <f>371000-214000</f>
        <v>157000</v>
      </c>
      <c r="Q46" s="25">
        <f>4751000-371000+400000</f>
        <v>4780000</v>
      </c>
      <c r="R46" s="25"/>
      <c r="S46" s="25"/>
      <c r="T46" s="25">
        <f>SUM(N46:S46)</f>
        <v>4937000</v>
      </c>
      <c r="U46" s="26"/>
      <c r="V46" s="25"/>
      <c r="W46" s="25"/>
      <c r="X46" s="26"/>
    </row>
    <row r="47" spans="1:24" s="22" customFormat="1" ht="12.75">
      <c r="A47" s="18" t="s">
        <v>110</v>
      </c>
      <c r="B47" s="19" t="s">
        <v>111</v>
      </c>
      <c r="C47" s="20"/>
      <c r="D47" s="20"/>
      <c r="E47" s="20"/>
      <c r="F47" s="20"/>
      <c r="G47" s="20">
        <v>2025</v>
      </c>
      <c r="H47" s="20"/>
      <c r="I47" s="20"/>
      <c r="J47" s="20"/>
      <c r="K47" s="20">
        <f aca="true" t="shared" si="15" ref="K47:K55">SUM(C47:J47)</f>
        <v>2025</v>
      </c>
      <c r="L47" s="20">
        <v>1106000</v>
      </c>
      <c r="M47" s="21">
        <f aca="true" t="shared" si="16" ref="M47:M53">K47/L47*100</f>
        <v>0.18309222423146473</v>
      </c>
      <c r="N47" s="20"/>
      <c r="O47" s="20"/>
      <c r="P47" s="20"/>
      <c r="Q47" s="20"/>
      <c r="R47" s="20">
        <f aca="true" t="shared" si="17" ref="R47:R53">SUM(N47:Q47)</f>
        <v>0</v>
      </c>
      <c r="S47" s="20"/>
      <c r="T47" s="20">
        <v>58000</v>
      </c>
      <c r="U47" s="21">
        <f aca="true" t="shared" si="18" ref="U47:U53">(R47+S47)/T47*100</f>
        <v>0</v>
      </c>
      <c r="V47" s="20">
        <f aca="true" t="shared" si="19" ref="V47:V53">T47-L47</f>
        <v>-1048000</v>
      </c>
      <c r="W47" s="20">
        <f aca="true" t="shared" si="20" ref="W47:W53">R47+S47-K47</f>
        <v>-2025</v>
      </c>
      <c r="X47" s="21">
        <f aca="true" t="shared" si="21" ref="X47:X53">W47/V47*100</f>
        <v>0.19322519083969464</v>
      </c>
    </row>
    <row r="48" spans="1:24" s="27" customFormat="1" ht="13.5">
      <c r="A48" s="23"/>
      <c r="B48" s="24" t="s">
        <v>66</v>
      </c>
      <c r="C48" s="25">
        <f>732000</f>
        <v>732000</v>
      </c>
      <c r="D48" s="25">
        <v>84000</v>
      </c>
      <c r="E48" s="25">
        <v>231000</v>
      </c>
      <c r="F48" s="25"/>
      <c r="G48" s="25"/>
      <c r="H48" s="25">
        <v>59000</v>
      </c>
      <c r="I48" s="25"/>
      <c r="J48" s="25"/>
      <c r="K48" s="25"/>
      <c r="L48" s="25">
        <f>SUM(C48:J48)</f>
        <v>1106000</v>
      </c>
      <c r="M48" s="28"/>
      <c r="N48" s="25"/>
      <c r="O48" s="25"/>
      <c r="P48" s="25">
        <v>58000</v>
      </c>
      <c r="Q48" s="25"/>
      <c r="R48" s="25"/>
      <c r="S48" s="25"/>
      <c r="T48" s="25">
        <f aca="true" t="shared" si="22" ref="T48:T54">SUM(N48:S48)</f>
        <v>58000</v>
      </c>
      <c r="U48" s="28"/>
      <c r="V48" s="25"/>
      <c r="W48" s="25"/>
      <c r="X48" s="28"/>
    </row>
    <row r="49" spans="1:24" s="22" customFormat="1" ht="12.75">
      <c r="A49" s="18" t="s">
        <v>112</v>
      </c>
      <c r="B49" s="19" t="s">
        <v>113</v>
      </c>
      <c r="C49" s="20">
        <v>2214610</v>
      </c>
      <c r="D49" s="20"/>
      <c r="E49" s="20">
        <v>747696</v>
      </c>
      <c r="F49" s="20">
        <v>384696</v>
      </c>
      <c r="G49" s="20">
        <v>219537</v>
      </c>
      <c r="H49" s="20">
        <v>125172</v>
      </c>
      <c r="I49" s="20"/>
      <c r="J49" s="20"/>
      <c r="K49" s="20">
        <f t="shared" si="15"/>
        <v>3691711</v>
      </c>
      <c r="L49" s="20">
        <v>8316000</v>
      </c>
      <c r="M49" s="21">
        <f t="shared" si="16"/>
        <v>44.39286916786917</v>
      </c>
      <c r="N49" s="20"/>
      <c r="O49" s="20"/>
      <c r="P49" s="20"/>
      <c r="Q49" s="20">
        <v>274460</v>
      </c>
      <c r="R49" s="20">
        <f>SUM(N49:Q49)</f>
        <v>274460</v>
      </c>
      <c r="S49" s="20"/>
      <c r="T49" s="20">
        <v>560000</v>
      </c>
      <c r="U49" s="21">
        <f t="shared" si="18"/>
        <v>49.010714285714286</v>
      </c>
      <c r="V49" s="20">
        <f t="shared" si="19"/>
        <v>-7756000</v>
      </c>
      <c r="W49" s="20">
        <f t="shared" si="20"/>
        <v>-3417251</v>
      </c>
      <c r="X49" s="21">
        <f t="shared" si="21"/>
        <v>44.05945074780815</v>
      </c>
    </row>
    <row r="50" spans="1:24" s="27" customFormat="1" ht="13.5">
      <c r="A50" s="23"/>
      <c r="B50" s="24" t="s">
        <v>66</v>
      </c>
      <c r="C50" s="25">
        <f>5428000</f>
        <v>5428000</v>
      </c>
      <c r="D50" s="25"/>
      <c r="E50" s="25">
        <v>1667000</v>
      </c>
      <c r="F50" s="25">
        <v>561000</v>
      </c>
      <c r="G50" s="25">
        <v>420000</v>
      </c>
      <c r="H50" s="25">
        <v>240000</v>
      </c>
      <c r="I50" s="25"/>
      <c r="J50" s="25"/>
      <c r="K50" s="25"/>
      <c r="L50" s="25">
        <f>SUM(C50:J50)</f>
        <v>8316000</v>
      </c>
      <c r="M50" s="28"/>
      <c r="N50" s="25"/>
      <c r="O50" s="25"/>
      <c r="P50" s="25">
        <v>260000</v>
      </c>
      <c r="Q50" s="25">
        <v>300000</v>
      </c>
      <c r="R50" s="25"/>
      <c r="S50" s="25"/>
      <c r="T50" s="25">
        <f t="shared" si="22"/>
        <v>560000</v>
      </c>
      <c r="U50" s="28"/>
      <c r="V50" s="25"/>
      <c r="W50" s="25"/>
      <c r="X50" s="28"/>
    </row>
    <row r="51" spans="1:24" s="22" customFormat="1" ht="12.75">
      <c r="A51" s="18" t="s">
        <v>114</v>
      </c>
      <c r="B51" s="19" t="s">
        <v>115</v>
      </c>
      <c r="C51" s="20">
        <v>884385</v>
      </c>
      <c r="D51" s="20"/>
      <c r="E51" s="20">
        <v>295884</v>
      </c>
      <c r="F51" s="20"/>
      <c r="G51" s="20">
        <v>2200</v>
      </c>
      <c r="H51" s="20">
        <v>8060</v>
      </c>
      <c r="I51" s="20"/>
      <c r="J51" s="20"/>
      <c r="K51" s="20">
        <f t="shared" si="15"/>
        <v>1190529</v>
      </c>
      <c r="L51" s="20">
        <v>3591000</v>
      </c>
      <c r="M51" s="21">
        <f t="shared" si="16"/>
        <v>33.1531328320802</v>
      </c>
      <c r="N51" s="20"/>
      <c r="O51" s="20"/>
      <c r="P51" s="20"/>
      <c r="Q51" s="20"/>
      <c r="R51" s="20">
        <f t="shared" si="17"/>
        <v>0</v>
      </c>
      <c r="S51" s="20"/>
      <c r="T51" s="20">
        <v>96000</v>
      </c>
      <c r="U51" s="21">
        <f t="shared" si="18"/>
        <v>0</v>
      </c>
      <c r="V51" s="20">
        <f t="shared" si="19"/>
        <v>-3495000</v>
      </c>
      <c r="W51" s="20">
        <f t="shared" si="20"/>
        <v>-1190529</v>
      </c>
      <c r="X51" s="21">
        <f t="shared" si="21"/>
        <v>34.063776824034335</v>
      </c>
    </row>
    <row r="52" spans="1:24" s="27" customFormat="1" ht="13.5">
      <c r="A52" s="23"/>
      <c r="B52" s="24" t="s">
        <v>66</v>
      </c>
      <c r="C52" s="25">
        <f>2124000</f>
        <v>2124000</v>
      </c>
      <c r="D52" s="25"/>
      <c r="E52" s="25">
        <v>633000</v>
      </c>
      <c r="F52" s="25">
        <v>60000</v>
      </c>
      <c r="G52" s="25">
        <v>384000</v>
      </c>
      <c r="H52" s="25">
        <v>390000</v>
      </c>
      <c r="I52" s="25"/>
      <c r="J52" s="25"/>
      <c r="K52" s="25"/>
      <c r="L52" s="25">
        <f>SUM(C52:J52)</f>
        <v>3591000</v>
      </c>
      <c r="M52" s="28"/>
      <c r="N52" s="25"/>
      <c r="O52" s="25"/>
      <c r="P52" s="25">
        <v>96000</v>
      </c>
      <c r="Q52" s="25"/>
      <c r="R52" s="25"/>
      <c r="S52" s="25"/>
      <c r="T52" s="25">
        <f t="shared" si="22"/>
        <v>96000</v>
      </c>
      <c r="U52" s="28"/>
      <c r="V52" s="25"/>
      <c r="W52" s="25"/>
      <c r="X52" s="28"/>
    </row>
    <row r="53" spans="1:24" s="22" customFormat="1" ht="12.75">
      <c r="A53" s="18" t="s">
        <v>116</v>
      </c>
      <c r="B53" s="19" t="s">
        <v>117</v>
      </c>
      <c r="C53" s="20"/>
      <c r="D53" s="20">
        <v>222000</v>
      </c>
      <c r="E53" s="20">
        <v>44658</v>
      </c>
      <c r="F53" s="20">
        <v>3075</v>
      </c>
      <c r="G53" s="20">
        <v>7306</v>
      </c>
      <c r="H53" s="20">
        <v>6757</v>
      </c>
      <c r="I53" s="20"/>
      <c r="J53" s="20"/>
      <c r="K53" s="20">
        <f t="shared" si="15"/>
        <v>283796</v>
      </c>
      <c r="L53" s="20">
        <v>1878000</v>
      </c>
      <c r="M53" s="21">
        <f t="shared" si="16"/>
        <v>15.111608093716718</v>
      </c>
      <c r="N53" s="20"/>
      <c r="O53" s="20"/>
      <c r="P53" s="20"/>
      <c r="Q53" s="20"/>
      <c r="R53" s="20">
        <f t="shared" si="17"/>
        <v>0</v>
      </c>
      <c r="S53" s="20"/>
      <c r="T53" s="20">
        <v>878000</v>
      </c>
      <c r="U53" s="21">
        <f t="shared" si="18"/>
        <v>0</v>
      </c>
      <c r="V53" s="20">
        <f t="shared" si="19"/>
        <v>-1000000</v>
      </c>
      <c r="W53" s="20">
        <f t="shared" si="20"/>
        <v>-283796</v>
      </c>
      <c r="X53" s="21">
        <f t="shared" si="21"/>
        <v>28.3796</v>
      </c>
    </row>
    <row r="54" spans="1:24" s="27" customFormat="1" ht="13.5">
      <c r="A54" s="23"/>
      <c r="B54" s="24" t="s">
        <v>66</v>
      </c>
      <c r="C54" s="25">
        <v>1191000</v>
      </c>
      <c r="D54" s="25"/>
      <c r="E54" s="25">
        <v>366000</v>
      </c>
      <c r="F54" s="25"/>
      <c r="G54" s="25">
        <v>50000</v>
      </c>
      <c r="H54" s="25">
        <v>271000</v>
      </c>
      <c r="I54" s="25"/>
      <c r="J54" s="25"/>
      <c r="K54" s="25"/>
      <c r="L54" s="25">
        <f>SUM(C54:J54)</f>
        <v>1878000</v>
      </c>
      <c r="M54" s="28"/>
      <c r="N54" s="25"/>
      <c r="O54" s="25"/>
      <c r="P54" s="25">
        <v>878000</v>
      </c>
      <c r="Q54" s="25"/>
      <c r="R54" s="25"/>
      <c r="S54" s="25"/>
      <c r="T54" s="25">
        <f t="shared" si="22"/>
        <v>878000</v>
      </c>
      <c r="U54" s="28"/>
      <c r="V54" s="25"/>
      <c r="W54" s="25"/>
      <c r="X54" s="26"/>
    </row>
    <row r="55" spans="1:24" s="22" customFormat="1" ht="12.75">
      <c r="A55" s="18" t="s">
        <v>118</v>
      </c>
      <c r="B55" s="19" t="s">
        <v>119</v>
      </c>
      <c r="C55" s="20"/>
      <c r="D55" s="20"/>
      <c r="E55" s="20"/>
      <c r="F55" s="20"/>
      <c r="G55" s="20"/>
      <c r="H55" s="20"/>
      <c r="I55" s="20">
        <v>15839061</v>
      </c>
      <c r="J55" s="20"/>
      <c r="K55" s="20">
        <f t="shared" si="15"/>
        <v>15839061</v>
      </c>
      <c r="L55" s="20"/>
      <c r="M55" s="21">
        <v>0</v>
      </c>
      <c r="N55" s="20"/>
      <c r="O55" s="20"/>
      <c r="P55" s="20"/>
      <c r="Q55" s="20">
        <v>181514963</v>
      </c>
      <c r="R55" s="20">
        <f>SUM(N55:Q55)</f>
        <v>181514963</v>
      </c>
      <c r="S55" s="20"/>
      <c r="T55" s="20">
        <v>356189109</v>
      </c>
      <c r="U55" s="21">
        <f>(R55+S55)/T55*100</f>
        <v>50.960278799540724</v>
      </c>
      <c r="V55" s="20">
        <f>T55-L55</f>
        <v>356189109</v>
      </c>
      <c r="W55" s="20">
        <f>R55+S55-K55</f>
        <v>165675902</v>
      </c>
      <c r="X55" s="21">
        <f>W55/V55*100</f>
        <v>46.51346653049968</v>
      </c>
    </row>
    <row r="56" spans="1:24" s="37" customFormat="1" ht="12.75">
      <c r="A56" s="33"/>
      <c r="B56" s="34" t="s">
        <v>120</v>
      </c>
      <c r="C56" s="35">
        <f>SUM(C18,C31,C38,C40,C45,C47,C49,C51,C53,C55)</f>
        <v>143567335</v>
      </c>
      <c r="D56" s="35">
        <f aca="true" t="shared" si="23" ref="D56:L56">SUM(D18,D31,D38,D40,D45,D47,D49,D51,D53,D55)</f>
        <v>5889498</v>
      </c>
      <c r="E56" s="35">
        <f t="shared" si="23"/>
        <v>48969029</v>
      </c>
      <c r="F56" s="35">
        <f t="shared" si="23"/>
        <v>34430163</v>
      </c>
      <c r="G56" s="35">
        <f t="shared" si="23"/>
        <v>59874552</v>
      </c>
      <c r="H56" s="35">
        <f t="shared" si="23"/>
        <v>13976232</v>
      </c>
      <c r="I56" s="35">
        <f t="shared" si="23"/>
        <v>22564909</v>
      </c>
      <c r="J56" s="35">
        <f t="shared" si="23"/>
        <v>0</v>
      </c>
      <c r="K56" s="35">
        <f t="shared" si="23"/>
        <v>329271718</v>
      </c>
      <c r="L56" s="35">
        <f t="shared" si="23"/>
        <v>645522661</v>
      </c>
      <c r="M56" s="36">
        <f t="shared" si="4"/>
        <v>51.008545151600806</v>
      </c>
      <c r="N56" s="35">
        <f aca="true" t="shared" si="24" ref="N56:T56">SUM(N18,N31,N38,N40,N45,N47,N49,N51,N53,N55)</f>
        <v>36939600</v>
      </c>
      <c r="O56" s="35">
        <f t="shared" si="24"/>
        <v>70149865</v>
      </c>
      <c r="P56" s="35">
        <f t="shared" si="24"/>
        <v>3685764</v>
      </c>
      <c r="Q56" s="35">
        <f t="shared" si="24"/>
        <v>229544652</v>
      </c>
      <c r="R56" s="35">
        <f t="shared" si="24"/>
        <v>340319881</v>
      </c>
      <c r="S56" s="35">
        <f t="shared" si="24"/>
        <v>6681651</v>
      </c>
      <c r="T56" s="35">
        <f t="shared" si="24"/>
        <v>645522661</v>
      </c>
      <c r="U56" s="36">
        <f t="shared" si="5"/>
        <v>53.755127893178646</v>
      </c>
      <c r="V56" s="35">
        <f>SUM(V18,V31,V38,V40,V45,V47,V49,V51,V53,V55)</f>
        <v>0</v>
      </c>
      <c r="W56" s="35">
        <f>SUM(W18,W31,W38,W40,W45,W47,W49,W51,W53,W55)</f>
        <v>17729814</v>
      </c>
      <c r="X56" s="17">
        <v>0</v>
      </c>
    </row>
    <row r="57" spans="1:24" s="27" customFormat="1" ht="13.5">
      <c r="A57" s="23"/>
      <c r="B57" s="24" t="s">
        <v>121</v>
      </c>
      <c r="C57" s="25">
        <f>SUM(C19,C32,C39,C41,C46,C48,C50,C52,C54)</f>
        <v>293969000</v>
      </c>
      <c r="D57" s="25">
        <f aca="true" t="shared" si="25" ref="D57:J57">SUM(D19,D32,D39,D41,D46,D48,D50,D52,D54)</f>
        <v>11880000</v>
      </c>
      <c r="E57" s="25">
        <f t="shared" si="25"/>
        <v>99080600</v>
      </c>
      <c r="F57" s="25">
        <f t="shared" si="25"/>
        <v>72991000</v>
      </c>
      <c r="G57" s="25">
        <f t="shared" si="25"/>
        <v>123033000</v>
      </c>
      <c r="H57" s="25">
        <f t="shared" si="25"/>
        <v>29040000</v>
      </c>
      <c r="I57" s="25">
        <f t="shared" si="25"/>
        <v>5735000</v>
      </c>
      <c r="J57" s="25">
        <f t="shared" si="25"/>
        <v>9794061</v>
      </c>
      <c r="K57" s="25"/>
      <c r="L57" s="25">
        <f>SUM(C57:J57)</f>
        <v>645522661</v>
      </c>
      <c r="M57" s="26"/>
      <c r="N57" s="25">
        <f aca="true" t="shared" si="26" ref="N57:S57">SUM(N19,N32,N39,N41,N46,N48,N50,N52,N54)</f>
        <v>76600000</v>
      </c>
      <c r="O57" s="25">
        <f t="shared" si="26"/>
        <v>142850000</v>
      </c>
      <c r="P57" s="25">
        <f>SUM(P19,P32,P39,P41,P46,P48,P50,P52,P54)+T55</f>
        <v>370873600</v>
      </c>
      <c r="Q57" s="25">
        <f t="shared" si="26"/>
        <v>55199061</v>
      </c>
      <c r="R57" s="25"/>
      <c r="S57" s="25">
        <f t="shared" si="26"/>
        <v>0</v>
      </c>
      <c r="T57" s="25">
        <f>SUM(N57:S57)</f>
        <v>645522661</v>
      </c>
      <c r="U57" s="26"/>
      <c r="V57" s="25"/>
      <c r="W57" s="25"/>
      <c r="X57" s="26"/>
    </row>
    <row r="58" spans="1:24" ht="12.75">
      <c r="A58" s="15"/>
      <c r="B58" s="38" t="s">
        <v>122</v>
      </c>
      <c r="C58" s="13">
        <f>SUM(F58,I58,L58)</f>
        <v>17729814</v>
      </c>
      <c r="D58" s="13" t="s">
        <v>123</v>
      </c>
      <c r="E58" s="13"/>
      <c r="F58" s="13">
        <v>10273748</v>
      </c>
      <c r="G58" s="13" t="s">
        <v>124</v>
      </c>
      <c r="H58" s="13"/>
      <c r="I58" s="13">
        <v>6681651</v>
      </c>
      <c r="J58" s="13"/>
      <c r="K58" s="13" t="s">
        <v>125</v>
      </c>
      <c r="L58" s="13">
        <v>774415</v>
      </c>
      <c r="M58" s="17"/>
      <c r="N58" s="13"/>
      <c r="O58" s="13"/>
      <c r="P58" s="13"/>
      <c r="Q58" s="13"/>
      <c r="R58" s="13"/>
      <c r="S58" s="13"/>
      <c r="T58" s="13"/>
      <c r="U58" s="17"/>
      <c r="V58" s="13"/>
      <c r="W58" s="13"/>
      <c r="X58" s="17"/>
    </row>
  </sheetData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95" r:id="rId1"/>
  <headerFooter alignWithMargins="0">
    <oddHeader>&amp;CPénzforgalmi kimutatás 2009.01-06.hó&amp;R2.sz. melléklet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F1">
      <selection activeCell="R37" sqref="R37"/>
    </sheetView>
  </sheetViews>
  <sheetFormatPr defaultColWidth="9.33203125" defaultRowHeight="12.75"/>
  <cols>
    <col min="1" max="1" width="23.83203125" style="32" customWidth="1"/>
    <col min="2" max="2" width="11.83203125" style="62" customWidth="1"/>
    <col min="3" max="3" width="11.83203125" style="62" bestFit="1" customWidth="1"/>
    <col min="4" max="4" width="11.66015625" style="62" bestFit="1" customWidth="1"/>
    <col min="5" max="5" width="12.66015625" style="59" bestFit="1" customWidth="1"/>
    <col min="6" max="6" width="12" style="62" customWidth="1"/>
    <col min="7" max="7" width="12.33203125" style="62" customWidth="1"/>
    <col min="8" max="8" width="12.16015625" style="62" customWidth="1"/>
    <col min="9" max="9" width="11.66015625" style="62" customWidth="1"/>
    <col min="10" max="10" width="12.33203125" style="59" customWidth="1"/>
    <col min="11" max="11" width="10.33203125" style="62" bestFit="1" customWidth="1"/>
    <col min="12" max="12" width="12.66015625" style="59" bestFit="1" customWidth="1"/>
    <col min="13" max="13" width="11.5" style="62" bestFit="1" customWidth="1"/>
    <col min="14" max="14" width="13" style="62" customWidth="1"/>
    <col min="15" max="15" width="12.33203125" style="62" customWidth="1"/>
    <col min="16" max="16" width="12.66015625" style="62" customWidth="1"/>
    <col min="17" max="17" width="11.33203125" style="62" customWidth="1"/>
    <col min="18" max="18" width="12.83203125" style="59" customWidth="1"/>
    <col min="19" max="19" width="10.16015625" style="32" bestFit="1" customWidth="1"/>
    <col min="20" max="16384" width="9.33203125" style="32" customWidth="1"/>
  </cols>
  <sheetData>
    <row r="1" spans="1:18" s="45" customFormat="1" ht="12.75">
      <c r="A1" s="42"/>
      <c r="B1" s="43" t="s">
        <v>0</v>
      </c>
      <c r="C1" s="43" t="s">
        <v>1</v>
      </c>
      <c r="D1" s="43" t="s">
        <v>2</v>
      </c>
      <c r="E1" s="44" t="s">
        <v>126</v>
      </c>
      <c r="F1" s="43" t="s">
        <v>3</v>
      </c>
      <c r="G1" s="43" t="s">
        <v>4</v>
      </c>
      <c r="H1" s="43" t="s">
        <v>5</v>
      </c>
      <c r="I1" s="43" t="s">
        <v>6</v>
      </c>
      <c r="J1" s="44" t="s">
        <v>127</v>
      </c>
      <c r="K1" s="43" t="s">
        <v>7</v>
      </c>
      <c r="L1" s="44" t="s">
        <v>8</v>
      </c>
      <c r="M1" s="43" t="s">
        <v>11</v>
      </c>
      <c r="N1" s="43" t="s">
        <v>12</v>
      </c>
      <c r="O1" s="43" t="s">
        <v>13</v>
      </c>
      <c r="P1" s="43" t="s">
        <v>14</v>
      </c>
      <c r="Q1" s="43" t="s">
        <v>13</v>
      </c>
      <c r="R1" s="44" t="s">
        <v>15</v>
      </c>
    </row>
    <row r="2" spans="1:18" s="45" customFormat="1" ht="13.5" thickBot="1">
      <c r="A2" s="46"/>
      <c r="B2" s="47" t="s">
        <v>19</v>
      </c>
      <c r="C2" s="47" t="s">
        <v>19</v>
      </c>
      <c r="D2" s="47" t="s">
        <v>20</v>
      </c>
      <c r="E2" s="48" t="s">
        <v>128</v>
      </c>
      <c r="F2" s="47" t="s">
        <v>21</v>
      </c>
      <c r="G2" s="47"/>
      <c r="H2" s="47" t="s">
        <v>22</v>
      </c>
      <c r="I2" s="47" t="s">
        <v>23</v>
      </c>
      <c r="J2" s="48" t="s">
        <v>128</v>
      </c>
      <c r="K2" s="47"/>
      <c r="L2" s="48" t="s">
        <v>24</v>
      </c>
      <c r="M2" s="47" t="s">
        <v>27</v>
      </c>
      <c r="N2" s="47" t="s">
        <v>28</v>
      </c>
      <c r="O2" s="47" t="s">
        <v>29</v>
      </c>
      <c r="P2" s="47" t="s">
        <v>30</v>
      </c>
      <c r="Q2" s="47" t="s">
        <v>32</v>
      </c>
      <c r="R2" s="48" t="s">
        <v>129</v>
      </c>
    </row>
    <row r="3" spans="1:18" ht="12.75">
      <c r="A3" s="30" t="s">
        <v>65</v>
      </c>
      <c r="B3" s="31">
        <v>27698700</v>
      </c>
      <c r="C3" s="31">
        <v>2387805</v>
      </c>
      <c r="D3" s="31">
        <v>9481937</v>
      </c>
      <c r="E3" s="35">
        <v>39568442</v>
      </c>
      <c r="F3" s="31">
        <v>1351040</v>
      </c>
      <c r="G3" s="31">
        <v>8198751</v>
      </c>
      <c r="H3" s="31">
        <v>1753114</v>
      </c>
      <c r="I3" s="31">
        <v>4178746</v>
      </c>
      <c r="J3" s="35">
        <v>15481651</v>
      </c>
      <c r="K3" s="31">
        <v>0</v>
      </c>
      <c r="L3" s="35">
        <v>55050093</v>
      </c>
      <c r="M3" s="31">
        <v>0</v>
      </c>
      <c r="N3" s="31">
        <v>3239755</v>
      </c>
      <c r="O3" s="31">
        <v>2257000</v>
      </c>
      <c r="P3" s="31">
        <v>21371349</v>
      </c>
      <c r="Q3" s="31">
        <v>6681651</v>
      </c>
      <c r="R3" s="35">
        <v>33549755</v>
      </c>
    </row>
    <row r="4" spans="1:18" s="51" customFormat="1" ht="12.75">
      <c r="A4" s="49" t="s">
        <v>66</v>
      </c>
      <c r="B4" s="50">
        <v>55394000</v>
      </c>
      <c r="C4" s="50">
        <v>5600000</v>
      </c>
      <c r="D4" s="50">
        <v>19182600</v>
      </c>
      <c r="E4" s="20">
        <v>80176600</v>
      </c>
      <c r="F4" s="50">
        <v>2760000</v>
      </c>
      <c r="G4" s="50">
        <v>19817000</v>
      </c>
      <c r="H4" s="50">
        <v>3780000</v>
      </c>
      <c r="I4" s="50">
        <v>3350000</v>
      </c>
      <c r="J4" s="20">
        <v>29707000</v>
      </c>
      <c r="K4" s="50"/>
      <c r="L4" s="20">
        <v>109883600</v>
      </c>
      <c r="M4" s="50">
        <v>0</v>
      </c>
      <c r="N4" s="50">
        <v>8000000</v>
      </c>
      <c r="O4" s="50">
        <v>5041000</v>
      </c>
      <c r="P4" s="50">
        <v>10330000</v>
      </c>
      <c r="Q4" s="50">
        <v>0</v>
      </c>
      <c r="R4" s="20">
        <v>23371000</v>
      </c>
    </row>
    <row r="5" spans="1:18" s="54" customFormat="1" ht="12.75">
      <c r="A5" s="52" t="s">
        <v>130</v>
      </c>
      <c r="B5" s="53">
        <v>50</v>
      </c>
      <c r="C5" s="53">
        <v>42.64</v>
      </c>
      <c r="D5" s="53">
        <v>49.43</v>
      </c>
      <c r="E5" s="53">
        <v>49.35</v>
      </c>
      <c r="F5" s="53">
        <v>48.95</v>
      </c>
      <c r="G5" s="53">
        <v>41.37</v>
      </c>
      <c r="H5" s="53">
        <v>46.38</v>
      </c>
      <c r="I5" s="53">
        <v>0</v>
      </c>
      <c r="J5" s="53">
        <v>52.11</v>
      </c>
      <c r="K5" s="53">
        <v>0</v>
      </c>
      <c r="L5" s="53">
        <v>50.1</v>
      </c>
      <c r="M5" s="53">
        <v>0</v>
      </c>
      <c r="N5" s="53">
        <v>40.5</v>
      </c>
      <c r="O5" s="53">
        <v>44.77</v>
      </c>
      <c r="P5" s="53">
        <v>206.89</v>
      </c>
      <c r="Q5" s="53">
        <v>0</v>
      </c>
      <c r="R5" s="53">
        <v>143.55</v>
      </c>
    </row>
    <row r="6" spans="1:18" ht="12.75">
      <c r="A6" s="30" t="s">
        <v>89</v>
      </c>
      <c r="B6" s="31">
        <v>80736778</v>
      </c>
      <c r="C6" s="31">
        <v>831597</v>
      </c>
      <c r="D6" s="31">
        <v>27276139</v>
      </c>
      <c r="E6" s="35">
        <v>108844514</v>
      </c>
      <c r="F6" s="31">
        <v>28368386</v>
      </c>
      <c r="G6" s="31">
        <v>28064410</v>
      </c>
      <c r="H6" s="31">
        <v>9702010</v>
      </c>
      <c r="I6" s="31">
        <v>2236206</v>
      </c>
      <c r="J6" s="35">
        <v>68371012</v>
      </c>
      <c r="K6" s="31">
        <v>0</v>
      </c>
      <c r="L6" s="35">
        <v>177215526</v>
      </c>
      <c r="M6" s="31">
        <v>0</v>
      </c>
      <c r="N6" s="31">
        <v>66860800</v>
      </c>
      <c r="O6" s="31">
        <v>645183</v>
      </c>
      <c r="P6" s="31">
        <v>19058118</v>
      </c>
      <c r="Q6" s="31">
        <v>0</v>
      </c>
      <c r="R6" s="35">
        <v>86564101</v>
      </c>
    </row>
    <row r="7" spans="1:18" s="51" customFormat="1" ht="12.75">
      <c r="A7" s="49" t="s">
        <v>66</v>
      </c>
      <c r="B7" s="50">
        <v>165940000</v>
      </c>
      <c r="C7" s="50">
        <v>1600000</v>
      </c>
      <c r="D7" s="50">
        <v>55065000</v>
      </c>
      <c r="E7" s="20">
        <v>222605000</v>
      </c>
      <c r="F7" s="50">
        <v>59685000</v>
      </c>
      <c r="G7" s="50">
        <v>50388000</v>
      </c>
      <c r="H7" s="50">
        <v>18700000</v>
      </c>
      <c r="I7" s="50">
        <v>2385000</v>
      </c>
      <c r="J7" s="20">
        <v>131158000</v>
      </c>
      <c r="K7" s="50">
        <v>9794061</v>
      </c>
      <c r="L7" s="20">
        <v>363557061</v>
      </c>
      <c r="M7" s="50">
        <v>0</v>
      </c>
      <c r="N7" s="50">
        <v>133300000</v>
      </c>
      <c r="O7" s="50">
        <v>6846491</v>
      </c>
      <c r="P7" s="50">
        <v>31939061</v>
      </c>
      <c r="Q7" s="50">
        <v>0</v>
      </c>
      <c r="R7" s="20">
        <v>172085552</v>
      </c>
    </row>
    <row r="8" spans="1:18" s="54" customFormat="1" ht="12.75">
      <c r="A8" s="52" t="s">
        <v>131</v>
      </c>
      <c r="B8" s="53">
        <v>48.65</v>
      </c>
      <c r="C8" s="53">
        <v>51.97</v>
      </c>
      <c r="D8" s="53">
        <v>49.53</v>
      </c>
      <c r="E8" s="53">
        <v>48.9</v>
      </c>
      <c r="F8" s="53">
        <v>47.53</v>
      </c>
      <c r="G8" s="53">
        <v>55.7</v>
      </c>
      <c r="H8" s="53">
        <v>51.88</v>
      </c>
      <c r="I8" s="53">
        <v>93.76</v>
      </c>
      <c r="J8" s="53">
        <v>52.13</v>
      </c>
      <c r="K8" s="53">
        <v>0</v>
      </c>
      <c r="L8" s="53">
        <v>48.74</v>
      </c>
      <c r="M8" s="53">
        <v>0</v>
      </c>
      <c r="N8" s="53">
        <v>50.16</v>
      </c>
      <c r="O8" s="53">
        <v>9.42</v>
      </c>
      <c r="P8" s="53">
        <v>59.67</v>
      </c>
      <c r="Q8" s="53">
        <v>0</v>
      </c>
      <c r="R8" s="53">
        <v>50.3</v>
      </c>
    </row>
    <row r="9" spans="1:18" ht="12.75">
      <c r="A9" s="30" t="s">
        <v>100</v>
      </c>
      <c r="B9" s="31">
        <v>17220114</v>
      </c>
      <c r="C9" s="31">
        <v>1966776</v>
      </c>
      <c r="D9" s="31">
        <v>6147094</v>
      </c>
      <c r="E9" s="35">
        <v>25333984</v>
      </c>
      <c r="F9" s="31">
        <v>1502057</v>
      </c>
      <c r="G9" s="31">
        <v>19525047</v>
      </c>
      <c r="H9" s="31">
        <v>957366</v>
      </c>
      <c r="I9" s="31">
        <v>310896</v>
      </c>
      <c r="J9" s="35">
        <v>22295366</v>
      </c>
      <c r="K9" s="31">
        <v>0</v>
      </c>
      <c r="L9" s="35">
        <v>47629350</v>
      </c>
      <c r="M9" s="31">
        <v>36939600</v>
      </c>
      <c r="N9" s="31">
        <v>0</v>
      </c>
      <c r="O9" s="31">
        <v>0</v>
      </c>
      <c r="P9" s="31">
        <v>0</v>
      </c>
      <c r="Q9" s="31">
        <v>0</v>
      </c>
      <c r="R9" s="35">
        <v>36939600</v>
      </c>
    </row>
    <row r="10" spans="1:18" s="51" customFormat="1" ht="12.75">
      <c r="A10" s="49" t="s">
        <v>66</v>
      </c>
      <c r="B10" s="50">
        <v>32719000</v>
      </c>
      <c r="C10" s="50">
        <v>4100000</v>
      </c>
      <c r="D10" s="50">
        <v>11844000</v>
      </c>
      <c r="E10" s="20">
        <v>48663000</v>
      </c>
      <c r="F10" s="50">
        <v>3950000</v>
      </c>
      <c r="G10" s="50">
        <v>41380000</v>
      </c>
      <c r="H10" s="50">
        <v>2000000</v>
      </c>
      <c r="I10" s="50">
        <v>0</v>
      </c>
      <c r="J10" s="20">
        <v>47330000</v>
      </c>
      <c r="K10" s="50"/>
      <c r="L10" s="20">
        <v>95993000</v>
      </c>
      <c r="M10" s="50">
        <v>76600000</v>
      </c>
      <c r="N10" s="50">
        <v>0</v>
      </c>
      <c r="O10" s="50">
        <v>0</v>
      </c>
      <c r="P10" s="50">
        <v>1666000</v>
      </c>
      <c r="Q10" s="50">
        <v>0</v>
      </c>
      <c r="R10" s="20">
        <v>78266000</v>
      </c>
    </row>
    <row r="11" spans="1:18" s="54" customFormat="1" ht="12.75">
      <c r="A11" s="52" t="s">
        <v>132</v>
      </c>
      <c r="B11" s="53">
        <v>52.63</v>
      </c>
      <c r="C11" s="53">
        <v>47.97</v>
      </c>
      <c r="D11" s="53">
        <v>51.9</v>
      </c>
      <c r="E11" s="53">
        <v>52.06</v>
      </c>
      <c r="F11" s="53">
        <v>38.03</v>
      </c>
      <c r="G11" s="53">
        <v>47.18</v>
      </c>
      <c r="H11" s="53">
        <v>47.87</v>
      </c>
      <c r="I11" s="53">
        <v>0</v>
      </c>
      <c r="J11" s="53">
        <v>47.11</v>
      </c>
      <c r="K11" s="53">
        <v>0</v>
      </c>
      <c r="L11" s="53">
        <v>49.62</v>
      </c>
      <c r="M11" s="53">
        <v>48.22</v>
      </c>
      <c r="N11" s="53">
        <v>0</v>
      </c>
      <c r="O11" s="53">
        <v>0</v>
      </c>
      <c r="P11" s="53">
        <v>0</v>
      </c>
      <c r="Q11" s="53">
        <v>0</v>
      </c>
      <c r="R11" s="53">
        <v>47.2</v>
      </c>
    </row>
    <row r="12" spans="1:18" ht="12.75">
      <c r="A12" s="30" t="s">
        <v>102</v>
      </c>
      <c r="B12" s="31">
        <v>12239077</v>
      </c>
      <c r="C12" s="31">
        <v>344700</v>
      </c>
      <c r="D12" s="31">
        <v>4107701</v>
      </c>
      <c r="E12" s="35">
        <v>16691478</v>
      </c>
      <c r="F12" s="31">
        <v>2695288</v>
      </c>
      <c r="G12" s="31">
        <v>2035693</v>
      </c>
      <c r="H12" s="31">
        <v>1005436</v>
      </c>
      <c r="I12" s="31">
        <v>0</v>
      </c>
      <c r="J12" s="35">
        <v>5736417</v>
      </c>
      <c r="K12" s="31">
        <v>0</v>
      </c>
      <c r="L12" s="35">
        <v>22427895</v>
      </c>
      <c r="M12" s="31">
        <v>0</v>
      </c>
      <c r="N12" s="31">
        <v>0</v>
      </c>
      <c r="O12" s="31">
        <v>607631</v>
      </c>
      <c r="P12" s="31">
        <v>4638443</v>
      </c>
      <c r="Q12" s="31">
        <v>0</v>
      </c>
      <c r="R12" s="35">
        <v>5246074</v>
      </c>
    </row>
    <row r="13" spans="1:18" s="51" customFormat="1" ht="12.75">
      <c r="A13" s="49" t="s">
        <v>66</v>
      </c>
      <c r="B13" s="50">
        <v>25693000</v>
      </c>
      <c r="C13" s="50">
        <v>300000</v>
      </c>
      <c r="D13" s="50">
        <v>8657000</v>
      </c>
      <c r="E13" s="20">
        <v>34650000</v>
      </c>
      <c r="F13" s="50">
        <v>4655000</v>
      </c>
      <c r="G13" s="50">
        <v>4440000</v>
      </c>
      <c r="H13" s="50">
        <v>1700000</v>
      </c>
      <c r="I13" s="50">
        <v>0</v>
      </c>
      <c r="J13" s="20">
        <v>10795000</v>
      </c>
      <c r="K13" s="50"/>
      <c r="L13" s="20">
        <v>45445000</v>
      </c>
      <c r="M13" s="50">
        <v>0</v>
      </c>
      <c r="N13" s="50">
        <v>1550000</v>
      </c>
      <c r="O13" s="50">
        <v>1348000</v>
      </c>
      <c r="P13" s="50">
        <v>6184000</v>
      </c>
      <c r="Q13" s="50">
        <v>0</v>
      </c>
      <c r="R13" s="20">
        <v>9082000</v>
      </c>
    </row>
    <row r="14" spans="1:18" s="54" customFormat="1" ht="12.75">
      <c r="A14" s="52" t="s">
        <v>133</v>
      </c>
      <c r="B14" s="53">
        <v>47.64</v>
      </c>
      <c r="C14" s="53">
        <v>0</v>
      </c>
      <c r="D14" s="53">
        <v>47.45</v>
      </c>
      <c r="E14" s="53">
        <v>48.17</v>
      </c>
      <c r="F14" s="53">
        <v>57.9</v>
      </c>
      <c r="G14" s="53">
        <v>45.85</v>
      </c>
      <c r="H14" s="53">
        <v>59.14</v>
      </c>
      <c r="I14" s="53">
        <v>0</v>
      </c>
      <c r="J14" s="53">
        <v>53.14</v>
      </c>
      <c r="K14" s="53">
        <v>0</v>
      </c>
      <c r="L14" s="53">
        <v>49.35</v>
      </c>
      <c r="M14" s="53">
        <v>0</v>
      </c>
      <c r="N14" s="53">
        <v>0</v>
      </c>
      <c r="O14" s="53">
        <v>45.08</v>
      </c>
      <c r="P14" s="53">
        <v>75.01</v>
      </c>
      <c r="Q14" s="53">
        <v>0</v>
      </c>
      <c r="R14" s="53">
        <v>57.76</v>
      </c>
    </row>
    <row r="15" spans="1:18" ht="12.75">
      <c r="A15" s="30" t="s">
        <v>109</v>
      </c>
      <c r="B15" s="31">
        <v>2573671</v>
      </c>
      <c r="C15" s="31">
        <v>136620</v>
      </c>
      <c r="D15" s="31">
        <v>867920</v>
      </c>
      <c r="E15" s="35">
        <v>3578211</v>
      </c>
      <c r="F15" s="31">
        <v>125621</v>
      </c>
      <c r="G15" s="31">
        <v>1819583</v>
      </c>
      <c r="H15" s="31">
        <v>418317</v>
      </c>
      <c r="I15" s="31">
        <v>0</v>
      </c>
      <c r="J15" s="35">
        <v>2363521</v>
      </c>
      <c r="K15" s="31">
        <v>0</v>
      </c>
      <c r="L15" s="35">
        <v>5941732</v>
      </c>
      <c r="M15" s="31">
        <v>0</v>
      </c>
      <c r="N15" s="31">
        <v>49310</v>
      </c>
      <c r="O15" s="31">
        <v>175950</v>
      </c>
      <c r="P15" s="31">
        <v>2687319</v>
      </c>
      <c r="Q15" s="31">
        <v>0</v>
      </c>
      <c r="R15" s="35">
        <v>2912579</v>
      </c>
    </row>
    <row r="16" spans="1:18" s="51" customFormat="1" ht="12.75">
      <c r="A16" s="49" t="s">
        <v>66</v>
      </c>
      <c r="B16" s="50">
        <v>4748000</v>
      </c>
      <c r="C16" s="50">
        <v>196000</v>
      </c>
      <c r="D16" s="50">
        <v>1435000</v>
      </c>
      <c r="E16" s="20">
        <v>6379000</v>
      </c>
      <c r="F16" s="50">
        <v>1320000</v>
      </c>
      <c r="G16" s="50">
        <v>6154000</v>
      </c>
      <c r="H16" s="50">
        <v>1900000</v>
      </c>
      <c r="I16" s="50">
        <v>0</v>
      </c>
      <c r="J16" s="20">
        <v>9374000</v>
      </c>
      <c r="K16" s="50"/>
      <c r="L16" s="20">
        <v>15753000</v>
      </c>
      <c r="M16" s="50">
        <v>0</v>
      </c>
      <c r="N16" s="50">
        <v>0</v>
      </c>
      <c r="O16" s="50">
        <v>157000</v>
      </c>
      <c r="P16" s="50">
        <v>4780000</v>
      </c>
      <c r="Q16" s="50">
        <v>0</v>
      </c>
      <c r="R16" s="20">
        <v>4937000</v>
      </c>
    </row>
    <row r="17" spans="1:18" s="54" customFormat="1" ht="12.75">
      <c r="A17" s="52" t="s">
        <v>134</v>
      </c>
      <c r="B17" s="53">
        <v>54.21</v>
      </c>
      <c r="C17" s="53">
        <v>69.7</v>
      </c>
      <c r="D17" s="53">
        <v>60.48</v>
      </c>
      <c r="E17" s="53">
        <v>56.09</v>
      </c>
      <c r="F17" s="53">
        <v>9.52</v>
      </c>
      <c r="G17" s="53">
        <v>29.57</v>
      </c>
      <c r="H17" s="53">
        <v>22.02</v>
      </c>
      <c r="I17" s="53">
        <v>0</v>
      </c>
      <c r="J17" s="53">
        <v>25.21</v>
      </c>
      <c r="K17" s="53">
        <v>0</v>
      </c>
      <c r="L17" s="53">
        <v>37.72</v>
      </c>
      <c r="M17" s="53">
        <v>0</v>
      </c>
      <c r="N17" s="53">
        <v>0</v>
      </c>
      <c r="O17" s="53">
        <v>112.07</v>
      </c>
      <c r="P17" s="53">
        <v>56.22</v>
      </c>
      <c r="Q17" s="53">
        <v>0</v>
      </c>
      <c r="R17" s="53">
        <v>58.99</v>
      </c>
    </row>
    <row r="18" spans="1:18" s="54" customFormat="1" ht="12.75">
      <c r="A18" s="55" t="s">
        <v>135</v>
      </c>
      <c r="B18" s="31">
        <v>0</v>
      </c>
      <c r="C18" s="31">
        <v>0</v>
      </c>
      <c r="D18" s="31">
        <v>0</v>
      </c>
      <c r="E18" s="35">
        <v>0</v>
      </c>
      <c r="F18" s="31">
        <v>0</v>
      </c>
      <c r="G18" s="31">
        <v>2025</v>
      </c>
      <c r="H18" s="31">
        <v>0</v>
      </c>
      <c r="I18" s="31">
        <v>0</v>
      </c>
      <c r="J18" s="35">
        <v>2025</v>
      </c>
      <c r="K18" s="31">
        <v>0</v>
      </c>
      <c r="L18" s="35">
        <v>2025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5">
        <v>0</v>
      </c>
    </row>
    <row r="19" spans="1:18" s="57" customFormat="1" ht="12.75">
      <c r="A19" s="49" t="s">
        <v>66</v>
      </c>
      <c r="B19" s="50">
        <v>732000</v>
      </c>
      <c r="C19" s="50">
        <v>84000</v>
      </c>
      <c r="D19" s="50">
        <v>231000</v>
      </c>
      <c r="E19" s="20">
        <v>1047000</v>
      </c>
      <c r="F19" s="50">
        <v>0</v>
      </c>
      <c r="G19" s="50">
        <v>0</v>
      </c>
      <c r="H19" s="50">
        <v>59000</v>
      </c>
      <c r="I19" s="50">
        <v>0</v>
      </c>
      <c r="J19" s="20">
        <v>59000</v>
      </c>
      <c r="K19" s="56"/>
      <c r="L19" s="20">
        <v>1106000</v>
      </c>
      <c r="M19" s="50">
        <v>0</v>
      </c>
      <c r="N19" s="50">
        <v>0</v>
      </c>
      <c r="O19" s="50">
        <v>58000</v>
      </c>
      <c r="P19" s="50">
        <v>0</v>
      </c>
      <c r="Q19" s="50">
        <v>0</v>
      </c>
      <c r="R19" s="20">
        <v>58000</v>
      </c>
    </row>
    <row r="20" spans="1:18" s="54" customFormat="1" ht="12.75">
      <c r="A20" s="52" t="s">
        <v>136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3.43</v>
      </c>
      <c r="K20" s="53">
        <v>0</v>
      </c>
      <c r="L20" s="53">
        <v>0.18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</row>
    <row r="21" spans="1:18" s="59" customFormat="1" ht="12.75">
      <c r="A21" s="58" t="s">
        <v>137</v>
      </c>
      <c r="B21" s="31">
        <v>2214610</v>
      </c>
      <c r="C21" s="31">
        <v>0</v>
      </c>
      <c r="D21" s="31">
        <v>747696</v>
      </c>
      <c r="E21" s="35">
        <v>2962306</v>
      </c>
      <c r="F21" s="31">
        <v>384696</v>
      </c>
      <c r="G21" s="31">
        <v>219537</v>
      </c>
      <c r="H21" s="31">
        <v>125172</v>
      </c>
      <c r="I21" s="31">
        <v>0</v>
      </c>
      <c r="J21" s="35">
        <v>729405</v>
      </c>
      <c r="K21" s="31">
        <v>0</v>
      </c>
      <c r="L21" s="35">
        <v>3691711</v>
      </c>
      <c r="M21" s="31">
        <v>0</v>
      </c>
      <c r="N21" s="31">
        <v>0</v>
      </c>
      <c r="O21" s="31">
        <v>0</v>
      </c>
      <c r="P21" s="31">
        <v>274460</v>
      </c>
      <c r="Q21" s="31">
        <v>0</v>
      </c>
      <c r="R21" s="35">
        <v>274460</v>
      </c>
    </row>
    <row r="22" spans="1:18" s="61" customFormat="1" ht="12.75">
      <c r="A22" s="60" t="s">
        <v>66</v>
      </c>
      <c r="B22" s="50">
        <v>5428000</v>
      </c>
      <c r="C22" s="50">
        <v>0</v>
      </c>
      <c r="D22" s="50">
        <v>1667000</v>
      </c>
      <c r="E22" s="20">
        <v>7095000</v>
      </c>
      <c r="F22" s="50">
        <v>561000</v>
      </c>
      <c r="G22" s="50">
        <v>420000</v>
      </c>
      <c r="H22" s="50">
        <v>240000</v>
      </c>
      <c r="I22" s="50">
        <v>0</v>
      </c>
      <c r="J22" s="20">
        <v>1221000</v>
      </c>
      <c r="K22" s="50"/>
      <c r="L22" s="20">
        <v>8316000</v>
      </c>
      <c r="M22" s="50">
        <v>0</v>
      </c>
      <c r="N22" s="50">
        <v>0</v>
      </c>
      <c r="O22" s="50">
        <v>260000</v>
      </c>
      <c r="P22" s="50">
        <v>300000</v>
      </c>
      <c r="Q22" s="50">
        <v>0</v>
      </c>
      <c r="R22" s="20">
        <v>560000</v>
      </c>
    </row>
    <row r="23" spans="1:18" s="54" customFormat="1" ht="12.75">
      <c r="A23" s="52" t="s">
        <v>138</v>
      </c>
      <c r="B23" s="53">
        <v>40.8</v>
      </c>
      <c r="C23" s="53">
        <v>0</v>
      </c>
      <c r="D23" s="53">
        <v>44.85</v>
      </c>
      <c r="E23" s="53">
        <v>41.75</v>
      </c>
      <c r="F23" s="53">
        <v>68.57</v>
      </c>
      <c r="G23" s="53">
        <v>52.27</v>
      </c>
      <c r="H23" s="53">
        <v>52.16</v>
      </c>
      <c r="I23" s="53">
        <v>0</v>
      </c>
      <c r="J23" s="53">
        <v>59.74</v>
      </c>
      <c r="K23" s="53">
        <v>0</v>
      </c>
      <c r="L23" s="53">
        <v>44.39</v>
      </c>
      <c r="M23" s="53">
        <v>0</v>
      </c>
      <c r="N23" s="53">
        <v>0</v>
      </c>
      <c r="O23" s="53">
        <v>0</v>
      </c>
      <c r="P23" s="53">
        <v>91.49</v>
      </c>
      <c r="Q23" s="53">
        <v>0</v>
      </c>
      <c r="R23" s="53">
        <v>49.01</v>
      </c>
    </row>
    <row r="24" spans="1:18" s="59" customFormat="1" ht="12.75">
      <c r="A24" s="58" t="s">
        <v>139</v>
      </c>
      <c r="B24" s="31">
        <v>884385</v>
      </c>
      <c r="C24" s="31">
        <v>0</v>
      </c>
      <c r="D24" s="31">
        <v>295884</v>
      </c>
      <c r="E24" s="35">
        <v>1180269</v>
      </c>
      <c r="F24" s="31">
        <v>0</v>
      </c>
      <c r="G24" s="31">
        <v>2200</v>
      </c>
      <c r="H24" s="31">
        <v>8060</v>
      </c>
      <c r="I24" s="31">
        <v>0</v>
      </c>
      <c r="J24" s="35">
        <v>10260</v>
      </c>
      <c r="K24" s="31">
        <v>0</v>
      </c>
      <c r="L24" s="35">
        <v>1190529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5">
        <v>0</v>
      </c>
    </row>
    <row r="25" spans="1:18" s="61" customFormat="1" ht="12.75">
      <c r="A25" s="60" t="s">
        <v>66</v>
      </c>
      <c r="B25" s="50">
        <v>2124000</v>
      </c>
      <c r="C25" s="50">
        <v>0</v>
      </c>
      <c r="D25" s="50">
        <v>633000</v>
      </c>
      <c r="E25" s="20">
        <v>2757000</v>
      </c>
      <c r="F25" s="50">
        <v>60000</v>
      </c>
      <c r="G25" s="50">
        <v>384000</v>
      </c>
      <c r="H25" s="50">
        <v>390000</v>
      </c>
      <c r="I25" s="50">
        <v>0</v>
      </c>
      <c r="J25" s="20">
        <v>834000</v>
      </c>
      <c r="K25" s="50"/>
      <c r="L25" s="20">
        <v>3591000</v>
      </c>
      <c r="M25" s="50">
        <v>0</v>
      </c>
      <c r="N25" s="50">
        <v>0</v>
      </c>
      <c r="O25" s="50">
        <v>96000</v>
      </c>
      <c r="P25" s="50">
        <v>0</v>
      </c>
      <c r="Q25" s="50">
        <v>0</v>
      </c>
      <c r="R25" s="20">
        <v>96000</v>
      </c>
    </row>
    <row r="26" spans="1:18" s="54" customFormat="1" ht="12.75">
      <c r="A26" s="52" t="s">
        <v>140</v>
      </c>
      <c r="B26" s="53">
        <v>41.64</v>
      </c>
      <c r="C26" s="53">
        <v>0</v>
      </c>
      <c r="D26" s="53">
        <v>46.74</v>
      </c>
      <c r="E26" s="53">
        <v>42.81</v>
      </c>
      <c r="F26" s="53">
        <v>0</v>
      </c>
      <c r="G26" s="53">
        <v>0.57</v>
      </c>
      <c r="H26" s="53">
        <v>2.07</v>
      </c>
      <c r="I26" s="53">
        <v>0</v>
      </c>
      <c r="J26" s="53">
        <v>1.23</v>
      </c>
      <c r="K26" s="53">
        <v>0</v>
      </c>
      <c r="L26" s="53">
        <v>33.15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</row>
    <row r="27" spans="1:18" s="59" customFormat="1" ht="12.75">
      <c r="A27" s="58" t="s">
        <v>141</v>
      </c>
      <c r="B27" s="31">
        <v>0</v>
      </c>
      <c r="C27" s="31">
        <v>222000</v>
      </c>
      <c r="D27" s="31">
        <v>44658</v>
      </c>
      <c r="E27" s="35">
        <v>266658</v>
      </c>
      <c r="F27" s="31">
        <v>3075</v>
      </c>
      <c r="G27" s="31">
        <v>7306</v>
      </c>
      <c r="H27" s="31">
        <v>6757</v>
      </c>
      <c r="I27" s="31">
        <v>0</v>
      </c>
      <c r="J27" s="35">
        <v>17138</v>
      </c>
      <c r="K27" s="31">
        <v>0</v>
      </c>
      <c r="L27" s="35">
        <v>283796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5">
        <v>0</v>
      </c>
    </row>
    <row r="28" spans="1:18" s="61" customFormat="1" ht="12.75">
      <c r="A28" s="60" t="s">
        <v>66</v>
      </c>
      <c r="B28" s="50">
        <v>1191000</v>
      </c>
      <c r="C28" s="50">
        <v>0</v>
      </c>
      <c r="D28" s="50">
        <v>366000</v>
      </c>
      <c r="E28" s="20">
        <v>1557000</v>
      </c>
      <c r="F28" s="50">
        <v>0</v>
      </c>
      <c r="G28" s="50">
        <v>50000</v>
      </c>
      <c r="H28" s="50">
        <v>271000</v>
      </c>
      <c r="I28" s="50">
        <v>0</v>
      </c>
      <c r="J28" s="20">
        <v>321000</v>
      </c>
      <c r="K28" s="50"/>
      <c r="L28" s="20">
        <v>1878000</v>
      </c>
      <c r="M28" s="50">
        <v>0</v>
      </c>
      <c r="N28" s="50">
        <v>0</v>
      </c>
      <c r="O28" s="50">
        <v>878000</v>
      </c>
      <c r="P28" s="50">
        <v>0</v>
      </c>
      <c r="Q28" s="50">
        <v>0</v>
      </c>
      <c r="R28" s="20">
        <v>878000</v>
      </c>
    </row>
    <row r="29" spans="1:18" s="54" customFormat="1" ht="12.75">
      <c r="A29" s="52" t="s">
        <v>142</v>
      </c>
      <c r="B29" s="53">
        <v>0</v>
      </c>
      <c r="C29" s="53">
        <v>0</v>
      </c>
      <c r="D29" s="53">
        <v>12.2</v>
      </c>
      <c r="E29" s="53">
        <v>17.13</v>
      </c>
      <c r="F29" s="53">
        <v>0</v>
      </c>
      <c r="G29" s="53">
        <v>14.61</v>
      </c>
      <c r="H29" s="53">
        <v>2.49</v>
      </c>
      <c r="I29" s="53">
        <v>0</v>
      </c>
      <c r="J29" s="53">
        <v>5.34</v>
      </c>
      <c r="K29" s="53">
        <v>0</v>
      </c>
      <c r="L29" s="53">
        <v>15.11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</row>
    <row r="30" spans="1:18" ht="12.75">
      <c r="A30" s="30" t="s">
        <v>119</v>
      </c>
      <c r="B30" s="31"/>
      <c r="C30" s="31"/>
      <c r="D30" s="31"/>
      <c r="E30" s="35"/>
      <c r="F30" s="31"/>
      <c r="G30" s="31"/>
      <c r="H30" s="31">
        <v>0</v>
      </c>
      <c r="I30" s="31">
        <v>15839061</v>
      </c>
      <c r="J30" s="35">
        <v>15839061</v>
      </c>
      <c r="K30" s="31"/>
      <c r="L30" s="35">
        <v>15839061</v>
      </c>
      <c r="M30" s="31">
        <v>0</v>
      </c>
      <c r="N30" s="31">
        <v>0</v>
      </c>
      <c r="O30" s="31">
        <v>0</v>
      </c>
      <c r="P30" s="31">
        <v>181514963</v>
      </c>
      <c r="Q30" s="31">
        <v>0</v>
      </c>
      <c r="R30" s="35">
        <v>181514963</v>
      </c>
    </row>
    <row r="31" spans="1:18" s="51" customFormat="1" ht="12.75">
      <c r="A31" s="49" t="s">
        <v>143</v>
      </c>
      <c r="B31" s="50"/>
      <c r="C31" s="50"/>
      <c r="D31" s="50"/>
      <c r="E31" s="20"/>
      <c r="F31" s="50"/>
      <c r="G31" s="50"/>
      <c r="H31" s="50">
        <v>0</v>
      </c>
      <c r="I31" s="50">
        <v>0</v>
      </c>
      <c r="J31" s="20">
        <v>0</v>
      </c>
      <c r="K31" s="50"/>
      <c r="L31" s="20">
        <v>0</v>
      </c>
      <c r="M31" s="50">
        <v>0</v>
      </c>
      <c r="N31" s="50">
        <v>0</v>
      </c>
      <c r="O31" s="50"/>
      <c r="P31" s="50">
        <v>356189109</v>
      </c>
      <c r="Q31" s="50"/>
      <c r="R31" s="20">
        <v>356189109</v>
      </c>
    </row>
    <row r="32" spans="1:18" ht="12.75">
      <c r="A32" s="34" t="s">
        <v>144</v>
      </c>
      <c r="B32" s="31"/>
      <c r="C32" s="31"/>
      <c r="D32" s="31"/>
      <c r="E32" s="35"/>
      <c r="F32" s="31"/>
      <c r="G32" s="31"/>
      <c r="H32" s="31"/>
      <c r="I32" s="31"/>
      <c r="J32" s="35"/>
      <c r="K32" s="31"/>
      <c r="L32" s="35"/>
      <c r="M32" s="31"/>
      <c r="N32" s="31"/>
      <c r="O32" s="31"/>
      <c r="P32" s="53">
        <v>50.96</v>
      </c>
      <c r="Q32" s="31"/>
      <c r="R32" s="53">
        <v>50.96</v>
      </c>
    </row>
    <row r="33" spans="1:19" ht="12.75">
      <c r="A33" s="30" t="s">
        <v>120</v>
      </c>
      <c r="B33" s="31">
        <v>143567335</v>
      </c>
      <c r="C33" s="31">
        <v>5889498</v>
      </c>
      <c r="D33" s="31">
        <v>48969029</v>
      </c>
      <c r="E33" s="35">
        <v>198425862</v>
      </c>
      <c r="F33" s="31">
        <v>34430163</v>
      </c>
      <c r="G33" s="31">
        <v>59874552</v>
      </c>
      <c r="H33" s="31">
        <v>13976232</v>
      </c>
      <c r="I33" s="31">
        <v>22564909</v>
      </c>
      <c r="J33" s="35">
        <v>130845856</v>
      </c>
      <c r="K33" s="31">
        <v>0</v>
      </c>
      <c r="L33" s="35">
        <v>329271718</v>
      </c>
      <c r="M33" s="31">
        <v>36939600</v>
      </c>
      <c r="N33" s="31">
        <v>70149865</v>
      </c>
      <c r="O33" s="31">
        <v>3685764</v>
      </c>
      <c r="P33" s="31">
        <v>229544652</v>
      </c>
      <c r="Q33" s="31">
        <v>6681651</v>
      </c>
      <c r="R33" s="35">
        <v>347001532</v>
      </c>
      <c r="S33" s="62"/>
    </row>
    <row r="34" spans="1:18" s="51" customFormat="1" ht="12.75">
      <c r="A34" s="49" t="s">
        <v>121</v>
      </c>
      <c r="B34" s="50">
        <v>293969000</v>
      </c>
      <c r="C34" s="50">
        <v>11880000</v>
      </c>
      <c r="D34" s="50">
        <v>99080600</v>
      </c>
      <c r="E34" s="20">
        <v>404929600</v>
      </c>
      <c r="F34" s="50">
        <v>72991000</v>
      </c>
      <c r="G34" s="50">
        <v>123033000</v>
      </c>
      <c r="H34" s="50">
        <v>29040000</v>
      </c>
      <c r="I34" s="50">
        <v>5735000</v>
      </c>
      <c r="J34" s="20">
        <v>230799000</v>
      </c>
      <c r="K34" s="50">
        <v>9794061</v>
      </c>
      <c r="L34" s="20">
        <v>645522661</v>
      </c>
      <c r="M34" s="50">
        <v>76600000</v>
      </c>
      <c r="N34" s="50">
        <v>142850000</v>
      </c>
      <c r="O34" s="50">
        <v>14684491</v>
      </c>
      <c r="P34" s="50">
        <v>411388170</v>
      </c>
      <c r="Q34" s="50">
        <v>0</v>
      </c>
      <c r="R34" s="20">
        <v>645522661</v>
      </c>
    </row>
    <row r="35" spans="1:18" s="54" customFormat="1" ht="12.75">
      <c r="A35" s="53" t="s">
        <v>145</v>
      </c>
      <c r="B35" s="53">
        <v>48.84</v>
      </c>
      <c r="C35" s="53">
        <v>49.57</v>
      </c>
      <c r="D35" s="53">
        <v>49.42</v>
      </c>
      <c r="E35" s="53">
        <v>49</v>
      </c>
      <c r="F35" s="53">
        <v>47.17</v>
      </c>
      <c r="G35" s="53">
        <v>48.67</v>
      </c>
      <c r="H35" s="53">
        <v>48.13</v>
      </c>
      <c r="I35" s="53">
        <v>393.46</v>
      </c>
      <c r="J35" s="53">
        <v>56.69</v>
      </c>
      <c r="K35" s="53">
        <v>0</v>
      </c>
      <c r="L35" s="53">
        <v>51.01</v>
      </c>
      <c r="M35" s="53">
        <v>48.22</v>
      </c>
      <c r="N35" s="53">
        <v>49.11</v>
      </c>
      <c r="O35" s="53">
        <v>25.1</v>
      </c>
      <c r="P35" s="53">
        <v>55.8</v>
      </c>
      <c r="Q35" s="53">
        <v>0</v>
      </c>
      <c r="R35" s="53">
        <v>53.76</v>
      </c>
    </row>
    <row r="37" ht="12.75">
      <c r="R37" s="59">
        <f>R33-L33</f>
        <v>17729814</v>
      </c>
    </row>
  </sheetData>
  <printOptions horizontalCentered="1"/>
  <pageMargins left="0.3937007874015748" right="0.3937007874015748" top="0.85" bottom="0.85" header="0.5118110236220472" footer="0.5118110236220472"/>
  <pageSetup horizontalDpi="600" verticalDpi="600" orientation="landscape" paperSize="9" r:id="rId1"/>
  <headerFooter alignWithMargins="0">
    <oddHeader xml:space="preserve">&amp;CPénzforgalmi kimutatás elemzése 2009.01-06.hó&amp;R3.sz. melléklet 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Tiszavasvári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Szoc.Rehab KHT.</dc:creator>
  <cp:keywords/>
  <dc:description/>
  <cp:lastModifiedBy>Tunde</cp:lastModifiedBy>
  <cp:lastPrinted>2009-09-17T11:32:37Z</cp:lastPrinted>
  <dcterms:created xsi:type="dcterms:W3CDTF">2009-09-09T09:46:08Z</dcterms:created>
  <dcterms:modified xsi:type="dcterms:W3CDTF">2009-09-09T09:51:34Z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